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0"/>
  </bookViews>
  <sheets>
    <sheet name="Tabelle1" sheetId="1" r:id="rId1"/>
    <sheet name="Tabelle2" sheetId="2" r:id="rId2"/>
    <sheet name="Tabelle3" sheetId="3" r:id="rId3"/>
    <sheet name="Kompatibilitätsbericht" sheetId="4" r:id="rId4"/>
  </sheets>
  <definedNames/>
  <calcPr fullCalcOnLoad="1"/>
</workbook>
</file>

<file path=xl/sharedStrings.xml><?xml version="1.0" encoding="utf-8"?>
<sst xmlns="http://schemas.openxmlformats.org/spreadsheetml/2006/main" count="370" uniqueCount="82">
  <si>
    <t>A - Jugend weiblich</t>
  </si>
  <si>
    <t>volle</t>
  </si>
  <si>
    <t>gesamt</t>
  </si>
  <si>
    <t>Platz</t>
  </si>
  <si>
    <t>Önsbach</t>
  </si>
  <si>
    <t>B - Jugend weiblich</t>
  </si>
  <si>
    <t>B - Jugend männlich</t>
  </si>
  <si>
    <t>A - Jugend männlich</t>
  </si>
  <si>
    <t>Bahn  3   und  Bahn  4</t>
  </si>
  <si>
    <t>Marlen</t>
  </si>
  <si>
    <t>Vorlauf</t>
  </si>
  <si>
    <t>Endlauf</t>
  </si>
  <si>
    <t>Endergebnis</t>
  </si>
  <si>
    <t>Kompatibilitätsbericht für KV Einzel 2007 - 2008.xls</t>
  </si>
  <si>
    <t>Ausführen auf 29.12.2007 00:35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</si>
  <si>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</si>
  <si>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Erheblicher Funktionalitätsverlust</t>
  </si>
  <si>
    <t>Anzahl</t>
  </si>
  <si>
    <t>Einige Zellen haben überlappende Bereiche für bedingte Formatierung. In früheren Excel-Versionen werden nicht alle Regeln zur bedingten Formatierung in den überlappenden Zellen ausgewertet. In den überlappenden Zellen wird eine andere bedingte Formatierung angezeigt.</t>
  </si>
  <si>
    <t>'Tabelle1'!A36:O41</t>
  </si>
  <si>
    <t>Mindestens eine Zelle in dieser Arbeitsmappe enthält einen Typ von bedingter Formatierung, der in einer früheren Excel-Version nicht unterstützt wird, z. B. Datenbalken, Farbskalen oder Symbolsätze.</t>
  </si>
  <si>
    <t>'Tabelle1'!A35:O45</t>
  </si>
  <si>
    <t xml:space="preserve">          KV Einzel - Meisterschaft  2011 - 2012</t>
  </si>
  <si>
    <t xml:space="preserve">C - Jugend </t>
  </si>
  <si>
    <t>Goldscheuer</t>
  </si>
  <si>
    <t>Bühl</t>
  </si>
  <si>
    <t>Ödsbach</t>
  </si>
  <si>
    <t>Zusenhofen</t>
  </si>
  <si>
    <t>Rammersweier</t>
  </si>
  <si>
    <t>Ebersweier</t>
  </si>
  <si>
    <t>Startzeiten</t>
  </si>
  <si>
    <t>10.30 Uhr</t>
  </si>
  <si>
    <t>09.00 Uhr</t>
  </si>
  <si>
    <t>09.45 Uhr</t>
  </si>
  <si>
    <t>11.15 Uhr</t>
  </si>
  <si>
    <t>Bartsch Marius</t>
  </si>
  <si>
    <t>Karcher Carolina</t>
  </si>
  <si>
    <t>Lott Tamara Denise</t>
  </si>
  <si>
    <t>Vetter Tim</t>
  </si>
  <si>
    <t>Egg Sebastian</t>
  </si>
  <si>
    <t>Heber Jasmina</t>
  </si>
  <si>
    <t>Forsthuber Silvia</t>
  </si>
  <si>
    <t>Reich Sedric</t>
  </si>
  <si>
    <t>Schneikert Adrian</t>
  </si>
  <si>
    <t>Leible Sven</t>
  </si>
  <si>
    <t>Kross Christoph</t>
  </si>
  <si>
    <t>Hummel Daniel</t>
  </si>
  <si>
    <t>Petzolt Achim</t>
  </si>
  <si>
    <t>Reich Julian</t>
  </si>
  <si>
    <t>Graziano Franco</t>
  </si>
  <si>
    <t>Haas Patrick</t>
  </si>
  <si>
    <t>Kimmig Mika</t>
  </si>
  <si>
    <t>Schäfer Alicia</t>
  </si>
  <si>
    <t>Faltin Dominic</t>
  </si>
  <si>
    <t>Auerbach Luca</t>
  </si>
  <si>
    <t>Sester Lena</t>
  </si>
  <si>
    <t>Vollmer Jasmin</t>
  </si>
  <si>
    <t>Ganz Jaqueline</t>
  </si>
  <si>
    <t>12.00 Uhr</t>
  </si>
  <si>
    <t>12.45 Uhr</t>
  </si>
  <si>
    <t>13.30 Uhr</t>
  </si>
  <si>
    <t>14.15 Uhr</t>
  </si>
  <si>
    <t>15.00 Uhr</t>
  </si>
  <si>
    <t>Bahnen</t>
  </si>
  <si>
    <t>Hermann Philipp</t>
  </si>
  <si>
    <t>Sänger Denis</t>
  </si>
  <si>
    <t>Werner Christian</t>
  </si>
  <si>
    <t>Weber Jens</t>
  </si>
  <si>
    <t>Boschert Tim</t>
  </si>
  <si>
    <t>Emmenegger Jonas</t>
  </si>
  <si>
    <t>Grün Sebastian</t>
  </si>
  <si>
    <t>Schemel Mario</t>
  </si>
  <si>
    <t>König Matthias</t>
  </si>
  <si>
    <t>König Marius</t>
  </si>
  <si>
    <t>König Stefan</t>
  </si>
  <si>
    <t>Armbruster Daniel</t>
  </si>
  <si>
    <t>Skotarczyk Robin</t>
  </si>
  <si>
    <t>Boschert Tom</t>
  </si>
  <si>
    <t>Sänger Dennis</t>
  </si>
  <si>
    <t>Vetter Timo</t>
  </si>
  <si>
    <t>König Mathias</t>
  </si>
  <si>
    <t>abr.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</si>
</sst>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23" borderId="9" applyNumberFormat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4" fillId="0" borderId="15" xfId="48" applyNumberFormat="1" applyBorder="1" applyAlignment="1" applyProtection="1">
      <alignment horizontal="center" vertical="top" wrapText="1"/>
      <protection/>
    </xf>
    <xf numFmtId="0" fontId="14" fillId="0" borderId="15" xfId="48" applyBorder="1" applyAlignment="1" applyProtection="1">
      <alignment horizontal="center" vertical="top" wrapText="1"/>
      <protection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P22" sqref="P22"/>
    </sheetView>
  </sheetViews>
  <sheetFormatPr defaultColWidth="11.421875" defaultRowHeight="15"/>
  <cols>
    <col min="6" max="6" width="6.140625" style="0" customWidth="1"/>
    <col min="7" max="7" width="6.7109375" style="0" customWidth="1"/>
    <col min="8" max="8" width="7.421875" style="0" customWidth="1"/>
    <col min="9" max="9" width="5.8515625" style="0" customWidth="1"/>
    <col min="10" max="10" width="6.57421875" style="0" customWidth="1"/>
    <col min="11" max="11" width="7.8515625" style="0" customWidth="1"/>
    <col min="12" max="12" width="7.57421875" style="0" customWidth="1"/>
  </cols>
  <sheetData>
    <row r="1" spans="1:13" ht="21">
      <c r="A1" s="1" t="s">
        <v>22</v>
      </c>
      <c r="G1" t="s">
        <v>10</v>
      </c>
      <c r="K1" t="s">
        <v>11</v>
      </c>
      <c r="M1" t="s">
        <v>12</v>
      </c>
    </row>
    <row r="2" spans="1:17" ht="15.75">
      <c r="A2" s="3" t="s">
        <v>3</v>
      </c>
      <c r="D2" s="2" t="s">
        <v>23</v>
      </c>
      <c r="F2" t="s">
        <v>1</v>
      </c>
      <c r="G2" t="s">
        <v>1</v>
      </c>
      <c r="H2" t="s">
        <v>2</v>
      </c>
      <c r="J2" t="s">
        <v>1</v>
      </c>
      <c r="K2" t="s">
        <v>1</v>
      </c>
      <c r="L2" t="s">
        <v>2</v>
      </c>
      <c r="Q2" s="6"/>
    </row>
    <row r="3" spans="1:13" ht="15">
      <c r="A3" s="3">
        <v>1</v>
      </c>
      <c r="B3" t="s">
        <v>78</v>
      </c>
      <c r="D3" t="s">
        <v>9</v>
      </c>
      <c r="F3" s="3">
        <v>230</v>
      </c>
      <c r="G3" s="3">
        <v>251</v>
      </c>
      <c r="H3" s="3">
        <f aca="true" t="shared" si="0" ref="H3:H8">SUM(C3:G3)</f>
        <v>481</v>
      </c>
      <c r="I3" s="3"/>
      <c r="J3" s="3">
        <v>263</v>
      </c>
      <c r="K3" s="3">
        <v>260</v>
      </c>
      <c r="L3" s="3">
        <f aca="true" t="shared" si="1" ref="L3:L9">SUM(J3:K3)</f>
        <v>523</v>
      </c>
      <c r="M3" s="25">
        <v>1004</v>
      </c>
    </row>
    <row r="4" spans="1:13" ht="15">
      <c r="A4" s="3">
        <v>2</v>
      </c>
      <c r="B4" t="s">
        <v>42</v>
      </c>
      <c r="D4" t="s">
        <v>24</v>
      </c>
      <c r="F4" s="3">
        <v>253</v>
      </c>
      <c r="G4" s="3">
        <v>262</v>
      </c>
      <c r="H4" s="3">
        <f t="shared" si="0"/>
        <v>515</v>
      </c>
      <c r="I4" s="3"/>
      <c r="J4" s="3">
        <f>117+113</f>
        <v>230</v>
      </c>
      <c r="K4" s="3">
        <f>104+125</f>
        <v>229</v>
      </c>
      <c r="L4" s="3">
        <f t="shared" si="1"/>
        <v>459</v>
      </c>
      <c r="M4" s="25">
        <f>459+515</f>
        <v>974</v>
      </c>
    </row>
    <row r="5" spans="1:25" ht="15">
      <c r="A5" s="3">
        <v>3</v>
      </c>
      <c r="B5" t="s">
        <v>35</v>
      </c>
      <c r="D5" t="s">
        <v>9</v>
      </c>
      <c r="F5" s="3">
        <v>215</v>
      </c>
      <c r="G5" s="3">
        <v>218</v>
      </c>
      <c r="H5" s="3">
        <f t="shared" si="0"/>
        <v>433</v>
      </c>
      <c r="I5" s="3"/>
      <c r="J5" s="3">
        <v>230</v>
      </c>
      <c r="K5" s="3">
        <v>224</v>
      </c>
      <c r="L5" s="3">
        <f t="shared" si="1"/>
        <v>454</v>
      </c>
      <c r="M5" s="25">
        <v>887</v>
      </c>
      <c r="R5" s="3"/>
      <c r="S5" s="3"/>
      <c r="T5" s="3"/>
      <c r="U5" s="3"/>
      <c r="V5" s="3"/>
      <c r="W5" s="3"/>
      <c r="X5" s="3"/>
      <c r="Y5" s="25"/>
    </row>
    <row r="6" spans="1:13" ht="15">
      <c r="A6" s="3">
        <v>4</v>
      </c>
      <c r="B6" t="s">
        <v>40</v>
      </c>
      <c r="D6" t="s">
        <v>24</v>
      </c>
      <c r="F6" s="3">
        <v>203</v>
      </c>
      <c r="G6" s="3">
        <v>200</v>
      </c>
      <c r="H6" s="3">
        <f t="shared" si="0"/>
        <v>403</v>
      </c>
      <c r="I6" s="3"/>
      <c r="J6" s="3">
        <f>108+92</f>
        <v>200</v>
      </c>
      <c r="K6" s="3">
        <f>119+142</f>
        <v>261</v>
      </c>
      <c r="L6" s="3">
        <f t="shared" si="1"/>
        <v>461</v>
      </c>
      <c r="M6" s="25">
        <f>461+403</f>
        <v>864</v>
      </c>
    </row>
    <row r="7" spans="1:17" ht="15">
      <c r="A7" s="3">
        <v>5</v>
      </c>
      <c r="B7" t="s">
        <v>64</v>
      </c>
      <c r="D7" t="s">
        <v>9</v>
      </c>
      <c r="F7" s="3">
        <v>196</v>
      </c>
      <c r="G7" s="3">
        <v>200</v>
      </c>
      <c r="H7" s="3">
        <f t="shared" si="0"/>
        <v>396</v>
      </c>
      <c r="I7" s="3"/>
      <c r="J7" s="3">
        <v>204</v>
      </c>
      <c r="K7" s="3">
        <v>225</v>
      </c>
      <c r="L7" s="3">
        <f t="shared" si="1"/>
        <v>429</v>
      </c>
      <c r="M7" s="25">
        <v>825</v>
      </c>
      <c r="Q7" s="4"/>
    </row>
    <row r="8" spans="1:17" ht="15">
      <c r="A8" s="3">
        <v>6</v>
      </c>
      <c r="B8" t="s">
        <v>41</v>
      </c>
      <c r="D8" t="s">
        <v>24</v>
      </c>
      <c r="F8" s="3">
        <v>114</v>
      </c>
      <c r="G8" s="3">
        <v>166</v>
      </c>
      <c r="H8" s="3">
        <f t="shared" si="0"/>
        <v>280</v>
      </c>
      <c r="I8" s="3"/>
      <c r="J8" s="3">
        <f>73+93</f>
        <v>166</v>
      </c>
      <c r="K8" s="3">
        <f>99+97</f>
        <v>196</v>
      </c>
      <c r="L8" s="3">
        <f t="shared" si="1"/>
        <v>362</v>
      </c>
      <c r="M8" s="25">
        <f>362+280</f>
        <v>642</v>
      </c>
      <c r="Q8" s="6"/>
    </row>
    <row r="9" spans="1:17" ht="15">
      <c r="A9" s="3">
        <v>7</v>
      </c>
      <c r="B9" t="s">
        <v>39</v>
      </c>
      <c r="D9" t="s">
        <v>24</v>
      </c>
      <c r="F9" s="3">
        <v>126</v>
      </c>
      <c r="G9" s="3">
        <v>143</v>
      </c>
      <c r="H9" s="3">
        <f>SUM(D9:G9)</f>
        <v>269</v>
      </c>
      <c r="I9" s="3"/>
      <c r="J9" s="3">
        <f>90+70</f>
        <v>160</v>
      </c>
      <c r="K9" s="3">
        <f>87+85</f>
        <v>172</v>
      </c>
      <c r="L9" s="3">
        <f t="shared" si="1"/>
        <v>332</v>
      </c>
      <c r="M9" s="25">
        <f>332+269</f>
        <v>601</v>
      </c>
      <c r="Q9" s="4"/>
    </row>
    <row r="10" ht="15">
      <c r="Q10" s="4"/>
    </row>
    <row r="11" spans="1:17" ht="15.75">
      <c r="A11" s="3" t="s">
        <v>3</v>
      </c>
      <c r="D11" s="2" t="s">
        <v>0</v>
      </c>
      <c r="F11" s="3" t="s">
        <v>1</v>
      </c>
      <c r="G11" s="3" t="s">
        <v>81</v>
      </c>
      <c r="H11" s="3"/>
      <c r="I11" s="3"/>
      <c r="J11" s="3" t="s">
        <v>1</v>
      </c>
      <c r="K11" s="3" t="s">
        <v>81</v>
      </c>
      <c r="L11" s="3"/>
      <c r="M11" s="25"/>
      <c r="Q11" s="4"/>
    </row>
    <row r="12" spans="1:17" ht="15">
      <c r="A12" s="3">
        <v>1</v>
      </c>
      <c r="B12" t="s">
        <v>52</v>
      </c>
      <c r="D12" t="s">
        <v>26</v>
      </c>
      <c r="F12" s="3">
        <f>151+154</f>
        <v>305</v>
      </c>
      <c r="G12" s="3">
        <f>49+63</f>
        <v>112</v>
      </c>
      <c r="H12" s="3">
        <f>SUM(C12:G12)</f>
        <v>417</v>
      </c>
      <c r="I12" s="3"/>
      <c r="J12" s="3">
        <f>151+162</f>
        <v>313</v>
      </c>
      <c r="K12" s="3">
        <f>70+62</f>
        <v>132</v>
      </c>
      <c r="L12" s="3">
        <f>SUM(J12:K12)</f>
        <v>445</v>
      </c>
      <c r="M12" s="25">
        <f>445+417</f>
        <v>862</v>
      </c>
      <c r="Q12" s="6"/>
    </row>
    <row r="13" spans="1:17" ht="15">
      <c r="A13" s="3">
        <v>2</v>
      </c>
      <c r="B13" t="s">
        <v>56</v>
      </c>
      <c r="D13" t="s">
        <v>27</v>
      </c>
      <c r="F13" s="3">
        <f>163+157</f>
        <v>320</v>
      </c>
      <c r="G13" s="3">
        <f>62+61</f>
        <v>123</v>
      </c>
      <c r="H13" s="3">
        <f>SUM(C13:G13)</f>
        <v>443</v>
      </c>
      <c r="I13" s="3"/>
      <c r="J13" s="3">
        <f>149+136</f>
        <v>285</v>
      </c>
      <c r="K13" s="3">
        <f>78+44</f>
        <v>122</v>
      </c>
      <c r="L13" s="3">
        <f>SUM(J13:K13)</f>
        <v>407</v>
      </c>
      <c r="M13" s="25">
        <f>407+443</f>
        <v>850</v>
      </c>
      <c r="Q13" s="4"/>
    </row>
    <row r="14" spans="1:17" ht="15">
      <c r="A14" s="3">
        <v>3</v>
      </c>
      <c r="B14" t="s">
        <v>37</v>
      </c>
      <c r="D14" t="s">
        <v>4</v>
      </c>
      <c r="F14" s="3">
        <f>156+139</f>
        <v>295</v>
      </c>
      <c r="G14" s="3">
        <f>48+54</f>
        <v>102</v>
      </c>
      <c r="H14" s="3">
        <f>SUM(C14:G14)</f>
        <v>397</v>
      </c>
      <c r="I14" s="3"/>
      <c r="J14" s="3">
        <f>125+139</f>
        <v>264</v>
      </c>
      <c r="K14" s="3">
        <f>53+62</f>
        <v>115</v>
      </c>
      <c r="L14" s="3">
        <f>SUM(J14:K14)</f>
        <v>379</v>
      </c>
      <c r="M14" s="25">
        <f>379+397</f>
        <v>776</v>
      </c>
      <c r="Q14" s="4"/>
    </row>
    <row r="15" spans="1:17" ht="15">
      <c r="A15" s="3">
        <v>4</v>
      </c>
      <c r="B15" t="s">
        <v>55</v>
      </c>
      <c r="D15" t="s">
        <v>4</v>
      </c>
      <c r="F15" s="3">
        <f>122+136</f>
        <v>258</v>
      </c>
      <c r="G15" s="3">
        <f>62+53</f>
        <v>115</v>
      </c>
      <c r="H15" s="3">
        <f>SUM(C15:G15)</f>
        <v>373</v>
      </c>
      <c r="I15" s="3"/>
      <c r="J15" s="3">
        <f>154+120</f>
        <v>274</v>
      </c>
      <c r="K15" s="3">
        <f>51+61</f>
        <v>112</v>
      </c>
      <c r="L15" s="3">
        <f>SUM(J15:K15)</f>
        <v>386</v>
      </c>
      <c r="M15" s="25">
        <f>386+373</f>
        <v>759</v>
      </c>
      <c r="Q15" s="4"/>
    </row>
    <row r="16" spans="1:17" ht="15">
      <c r="A16" s="3">
        <v>5</v>
      </c>
      <c r="B16" t="s">
        <v>36</v>
      </c>
      <c r="D16" t="s">
        <v>25</v>
      </c>
      <c r="F16" s="3">
        <f>135+135</f>
        <v>270</v>
      </c>
      <c r="G16" s="3">
        <f>44+54</f>
        <v>98</v>
      </c>
      <c r="H16" s="3">
        <f>SUM(C16:G16)</f>
        <v>368</v>
      </c>
      <c r="I16" s="3"/>
      <c r="J16" s="3">
        <f>129+136</f>
        <v>265</v>
      </c>
      <c r="K16" s="3">
        <f>52+34</f>
        <v>86</v>
      </c>
      <c r="L16" s="3">
        <f>SUM(J16:K16)</f>
        <v>351</v>
      </c>
      <c r="M16" s="25">
        <f>351+368</f>
        <v>719</v>
      </c>
      <c r="Q16" s="4"/>
    </row>
    <row r="17" spans="1:17" ht="15">
      <c r="A17" s="3"/>
      <c r="Q17" s="4"/>
    </row>
    <row r="18" spans="1:17" ht="15.75">
      <c r="A18" s="3" t="s">
        <v>3</v>
      </c>
      <c r="D18" s="2" t="s">
        <v>5</v>
      </c>
      <c r="F18" s="3" t="s">
        <v>1</v>
      </c>
      <c r="G18" s="3" t="s">
        <v>81</v>
      </c>
      <c r="H18" s="3"/>
      <c r="I18" s="3"/>
      <c r="J18" s="3" t="s">
        <v>1</v>
      </c>
      <c r="K18" s="3" t="s">
        <v>81</v>
      </c>
      <c r="L18" s="3"/>
      <c r="M18" s="25"/>
      <c r="Q18" s="4"/>
    </row>
    <row r="19" spans="1:17" ht="15">
      <c r="A19" s="3">
        <v>1</v>
      </c>
      <c r="B19" t="s">
        <v>57</v>
      </c>
      <c r="D19" t="s">
        <v>28</v>
      </c>
      <c r="F19" s="3">
        <f>126+140</f>
        <v>266</v>
      </c>
      <c r="G19" s="3">
        <f>93+3</f>
        <v>96</v>
      </c>
      <c r="H19" s="3">
        <f>SUM(C19:G19)</f>
        <v>362</v>
      </c>
      <c r="I19" s="3"/>
      <c r="J19" s="3">
        <f>133+136</f>
        <v>269</v>
      </c>
      <c r="K19" s="3">
        <f>54+44</f>
        <v>98</v>
      </c>
      <c r="L19" s="3">
        <f>SUM(J19:K19)</f>
        <v>367</v>
      </c>
      <c r="M19" s="25">
        <f>367+362</f>
        <v>729</v>
      </c>
      <c r="Q19" s="6"/>
    </row>
    <row r="20" ht="15">
      <c r="Q20" s="5"/>
    </row>
    <row r="21" spans="1:17" ht="15.75">
      <c r="A21" s="3" t="s">
        <v>3</v>
      </c>
      <c r="D21" s="2" t="s">
        <v>6</v>
      </c>
      <c r="F21" s="3" t="s">
        <v>1</v>
      </c>
      <c r="G21" s="3" t="s">
        <v>81</v>
      </c>
      <c r="H21" s="3"/>
      <c r="I21" s="3"/>
      <c r="J21" s="3" t="s">
        <v>1</v>
      </c>
      <c r="K21" s="3" t="s">
        <v>81</v>
      </c>
      <c r="L21" s="3"/>
      <c r="M21" s="25"/>
      <c r="Q21" s="4"/>
    </row>
    <row r="22" spans="1:17" ht="15">
      <c r="A22" s="3">
        <v>1</v>
      </c>
      <c r="B22" t="s">
        <v>48</v>
      </c>
      <c r="D22" t="s">
        <v>24</v>
      </c>
      <c r="F22" s="3">
        <f>158+164</f>
        <v>322</v>
      </c>
      <c r="G22" s="3">
        <f>53+80</f>
        <v>133</v>
      </c>
      <c r="H22" s="28">
        <f>SUM(C22:G22)</f>
        <v>455</v>
      </c>
      <c r="I22" s="3"/>
      <c r="J22" s="3">
        <f>156+149</f>
        <v>305</v>
      </c>
      <c r="K22" s="3">
        <f>63+80</f>
        <v>143</v>
      </c>
      <c r="L22" s="3">
        <f aca="true" t="shared" si="2" ref="L22:L33">SUM(J22:K22)</f>
        <v>448</v>
      </c>
      <c r="M22" s="27">
        <f>448+455</f>
        <v>903</v>
      </c>
      <c r="Q22" s="4"/>
    </row>
    <row r="23" spans="1:17" ht="15">
      <c r="A23" s="3">
        <v>2</v>
      </c>
      <c r="B23" t="s">
        <v>49</v>
      </c>
      <c r="D23" t="s">
        <v>26</v>
      </c>
      <c r="F23" s="3">
        <f>142+163</f>
        <v>305</v>
      </c>
      <c r="G23" s="3">
        <f>60+86</f>
        <v>146</v>
      </c>
      <c r="H23" s="28">
        <f>SUM(C23:G23)</f>
        <v>451</v>
      </c>
      <c r="I23" s="3"/>
      <c r="J23" s="3">
        <f>145+145</f>
        <v>290</v>
      </c>
      <c r="K23" s="3">
        <f>71+63</f>
        <v>134</v>
      </c>
      <c r="L23" s="3">
        <f t="shared" si="2"/>
        <v>424</v>
      </c>
      <c r="M23" s="25">
        <f>424+451</f>
        <v>875</v>
      </c>
      <c r="Q23" s="4"/>
    </row>
    <row r="24" spans="1:17" ht="15">
      <c r="A24" s="3">
        <v>3</v>
      </c>
      <c r="B24" t="s">
        <v>50</v>
      </c>
      <c r="D24" t="s">
        <v>26</v>
      </c>
      <c r="F24" s="3">
        <f>147+137</f>
        <v>284</v>
      </c>
      <c r="G24" s="3">
        <f>53+63</f>
        <v>116</v>
      </c>
      <c r="H24" s="3">
        <f>SUM(C24:G24)</f>
        <v>400</v>
      </c>
      <c r="I24" s="3"/>
      <c r="J24" s="3">
        <f>158+149</f>
        <v>307</v>
      </c>
      <c r="K24" s="3">
        <f>42+62</f>
        <v>104</v>
      </c>
      <c r="L24" s="3">
        <f t="shared" si="2"/>
        <v>411</v>
      </c>
      <c r="M24" s="25">
        <f>411+400</f>
        <v>811</v>
      </c>
      <c r="Q24" s="4"/>
    </row>
    <row r="25" spans="1:17" ht="15">
      <c r="A25" s="3">
        <v>4</v>
      </c>
      <c r="B25" t="s">
        <v>51</v>
      </c>
      <c r="D25" t="s">
        <v>26</v>
      </c>
      <c r="F25" s="3">
        <f>133+122</f>
        <v>255</v>
      </c>
      <c r="G25" s="3">
        <f>54+63</f>
        <v>117</v>
      </c>
      <c r="H25" s="3">
        <f>SUM(C25:G25)</f>
        <v>372</v>
      </c>
      <c r="I25" s="3"/>
      <c r="J25" s="3">
        <f>152+140</f>
        <v>292</v>
      </c>
      <c r="K25" s="3">
        <f>53+80</f>
        <v>133</v>
      </c>
      <c r="L25" s="3">
        <f t="shared" si="2"/>
        <v>425</v>
      </c>
      <c r="M25" s="25">
        <f>425+372</f>
        <v>797</v>
      </c>
      <c r="Q25" s="4"/>
    </row>
    <row r="26" spans="1:17" ht="15">
      <c r="A26" s="3">
        <v>5</v>
      </c>
      <c r="B26" t="s">
        <v>76</v>
      </c>
      <c r="D26" t="s">
        <v>9</v>
      </c>
      <c r="F26" s="3">
        <f>133+140</f>
        <v>273</v>
      </c>
      <c r="G26" s="3">
        <f>42+53</f>
        <v>95</v>
      </c>
      <c r="H26" s="3">
        <v>368</v>
      </c>
      <c r="I26" s="3"/>
      <c r="J26" s="3">
        <f>132+136</f>
        <v>268</v>
      </c>
      <c r="K26" s="3">
        <f>70+54</f>
        <v>124</v>
      </c>
      <c r="L26" s="3">
        <f t="shared" si="2"/>
        <v>392</v>
      </c>
      <c r="M26" s="25">
        <f>392+368</f>
        <v>760</v>
      </c>
      <c r="Q26" s="4"/>
    </row>
    <row r="27" spans="1:17" ht="15">
      <c r="A27" s="3">
        <v>6</v>
      </c>
      <c r="B27" t="s">
        <v>44</v>
      </c>
      <c r="D27" t="s">
        <v>29</v>
      </c>
      <c r="F27" s="3">
        <f>112+128</f>
        <v>240</v>
      </c>
      <c r="G27" s="3">
        <f>63+42</f>
        <v>105</v>
      </c>
      <c r="H27" s="3">
        <f>SUM(C27:G27)</f>
        <v>345</v>
      </c>
      <c r="I27" s="3"/>
      <c r="J27" s="3">
        <f>144+145</f>
        <v>289</v>
      </c>
      <c r="K27" s="3">
        <f>52+44</f>
        <v>96</v>
      </c>
      <c r="L27" s="3">
        <f t="shared" si="2"/>
        <v>385</v>
      </c>
      <c r="M27" s="25">
        <f>385+345</f>
        <v>730</v>
      </c>
      <c r="Q27" s="4"/>
    </row>
    <row r="28" spans="1:17" ht="15">
      <c r="A28" s="3">
        <v>7</v>
      </c>
      <c r="B28" t="s">
        <v>54</v>
      </c>
      <c r="D28" t="s">
        <v>4</v>
      </c>
      <c r="F28" s="3">
        <f>267+10</f>
        <v>277</v>
      </c>
      <c r="G28" s="3">
        <f>27+53</f>
        <v>80</v>
      </c>
      <c r="H28" s="3">
        <f>SUM(C28:G28)</f>
        <v>357</v>
      </c>
      <c r="I28" s="3"/>
      <c r="J28" s="3">
        <f>135+132</f>
        <v>267</v>
      </c>
      <c r="K28" s="3">
        <f>63+43</f>
        <v>106</v>
      </c>
      <c r="L28" s="3">
        <f t="shared" si="2"/>
        <v>373</v>
      </c>
      <c r="M28" s="25">
        <f>373+357</f>
        <v>730</v>
      </c>
      <c r="Q28" s="4"/>
    </row>
    <row r="29" spans="1:17" ht="15">
      <c r="A29" s="3">
        <v>8</v>
      </c>
      <c r="B29" t="s">
        <v>69</v>
      </c>
      <c r="D29" t="s">
        <v>9</v>
      </c>
      <c r="F29" s="3">
        <f>123+115</f>
        <v>238</v>
      </c>
      <c r="G29" s="3">
        <f>51+61</f>
        <v>112</v>
      </c>
      <c r="H29" s="3">
        <v>350</v>
      </c>
      <c r="I29" s="3"/>
      <c r="J29" s="3">
        <f>136+119</f>
        <v>255</v>
      </c>
      <c r="K29" s="3">
        <f>61+52</f>
        <v>113</v>
      </c>
      <c r="L29" s="3">
        <f t="shared" si="2"/>
        <v>368</v>
      </c>
      <c r="M29" s="25">
        <f>368+350</f>
        <v>718</v>
      </c>
      <c r="Q29" s="4"/>
    </row>
    <row r="30" spans="1:17" ht="15">
      <c r="A30" s="3">
        <v>9</v>
      </c>
      <c r="B30" t="s">
        <v>43</v>
      </c>
      <c r="D30" t="s">
        <v>24</v>
      </c>
      <c r="F30" s="3">
        <f>126+116</f>
        <v>242</v>
      </c>
      <c r="G30" s="3">
        <f>35+41</f>
        <v>76</v>
      </c>
      <c r="H30" s="3">
        <f>SUM(C30:G30)</f>
        <v>318</v>
      </c>
      <c r="I30" s="3"/>
      <c r="J30" s="3">
        <f>128+131</f>
        <v>259</v>
      </c>
      <c r="K30" s="3">
        <f>62+44</f>
        <v>106</v>
      </c>
      <c r="L30" s="3">
        <f t="shared" si="2"/>
        <v>365</v>
      </c>
      <c r="M30" s="25">
        <f>365+318</f>
        <v>683</v>
      </c>
      <c r="Q30" s="4"/>
    </row>
    <row r="31" spans="1:17" ht="15">
      <c r="A31" s="3">
        <v>10</v>
      </c>
      <c r="B31" t="s">
        <v>70</v>
      </c>
      <c r="D31" t="s">
        <v>9</v>
      </c>
      <c r="F31" s="3">
        <f>139+127</f>
        <v>266</v>
      </c>
      <c r="G31" s="3">
        <f>35+44</f>
        <v>79</v>
      </c>
      <c r="H31" s="3">
        <v>353</v>
      </c>
      <c r="I31" s="3"/>
      <c r="J31" s="3">
        <f>124+127</f>
        <v>251</v>
      </c>
      <c r="K31" s="3">
        <v>72</v>
      </c>
      <c r="L31" s="3">
        <f t="shared" si="2"/>
        <v>323</v>
      </c>
      <c r="M31" s="25">
        <f>323+353</f>
        <v>676</v>
      </c>
      <c r="Q31" s="4"/>
    </row>
    <row r="32" spans="1:13" ht="15">
      <c r="A32" s="3">
        <v>11</v>
      </c>
      <c r="B32" t="s">
        <v>77</v>
      </c>
      <c r="D32" t="s">
        <v>9</v>
      </c>
      <c r="F32" s="3">
        <f>114+131</f>
        <v>245</v>
      </c>
      <c r="G32" s="3">
        <f>26+42</f>
        <v>68</v>
      </c>
      <c r="H32" s="3">
        <v>313</v>
      </c>
      <c r="I32" s="3"/>
      <c r="J32" s="3">
        <f>130+119</f>
        <v>249</v>
      </c>
      <c r="K32" s="3">
        <f>30+35</f>
        <v>65</v>
      </c>
      <c r="L32" s="3">
        <f t="shared" si="2"/>
        <v>314</v>
      </c>
      <c r="M32" s="25">
        <f>314+313</f>
        <v>627</v>
      </c>
    </row>
    <row r="33" spans="1:13" ht="15">
      <c r="A33" s="3">
        <v>12</v>
      </c>
      <c r="B33" t="s">
        <v>79</v>
      </c>
      <c r="D33" t="s">
        <v>24</v>
      </c>
      <c r="F33" s="3">
        <f>92+110</f>
        <v>202</v>
      </c>
      <c r="G33" s="3">
        <f>35+23</f>
        <v>58</v>
      </c>
      <c r="H33" s="3">
        <f>SUM(C33:G33)</f>
        <v>260</v>
      </c>
      <c r="I33" s="3"/>
      <c r="J33" s="3">
        <f>133+136</f>
        <v>269</v>
      </c>
      <c r="K33" s="3">
        <f>43+43</f>
        <v>86</v>
      </c>
      <c r="L33" s="3">
        <f t="shared" si="2"/>
        <v>355</v>
      </c>
      <c r="M33" s="25">
        <f>355+260</f>
        <v>615</v>
      </c>
    </row>
    <row r="34" spans="1:13" ht="15">
      <c r="A34" s="3">
        <v>13</v>
      </c>
      <c r="B34" t="s">
        <v>75</v>
      </c>
      <c r="D34" t="s">
        <v>4</v>
      </c>
      <c r="F34" s="3">
        <v>0</v>
      </c>
      <c r="G34" s="3"/>
      <c r="H34" s="3">
        <f>SUM(C34:G34)</f>
        <v>0</v>
      </c>
      <c r="I34" s="3"/>
      <c r="J34" s="3">
        <f>125+135</f>
        <v>260</v>
      </c>
      <c r="K34" s="3">
        <f>45+51</f>
        <v>96</v>
      </c>
      <c r="L34" s="3">
        <f>SUM(H34:K34)</f>
        <v>356</v>
      </c>
      <c r="M34" s="25">
        <f>SUM(L34)</f>
        <v>356</v>
      </c>
    </row>
    <row r="36" spans="1:15" ht="15.75">
      <c r="A36" s="3" t="s">
        <v>3</v>
      </c>
      <c r="D36" s="2" t="s">
        <v>7</v>
      </c>
      <c r="F36" s="3" t="s">
        <v>1</v>
      </c>
      <c r="G36" s="3" t="s">
        <v>81</v>
      </c>
      <c r="H36" s="3"/>
      <c r="I36" s="3"/>
      <c r="J36" s="3" t="s">
        <v>1</v>
      </c>
      <c r="K36" s="3" t="s">
        <v>81</v>
      </c>
      <c r="L36" s="3"/>
      <c r="M36" s="25"/>
      <c r="O36" s="24"/>
    </row>
    <row r="37" spans="1:15" ht="15">
      <c r="A37" s="3">
        <v>1</v>
      </c>
      <c r="B37" t="s">
        <v>74</v>
      </c>
      <c r="D37" t="s">
        <v>4</v>
      </c>
      <c r="F37" s="3">
        <f>131+156</f>
        <v>287</v>
      </c>
      <c r="G37" s="3">
        <f>80+61</f>
        <v>141</v>
      </c>
      <c r="H37" s="3">
        <f aca="true" t="shared" si="3" ref="H37:H46">SUM(C37:G37)</f>
        <v>428</v>
      </c>
      <c r="I37" s="3"/>
      <c r="J37" s="3">
        <f>157+130</f>
        <v>287</v>
      </c>
      <c r="K37" s="3">
        <f>84+72</f>
        <v>156</v>
      </c>
      <c r="L37" s="3">
        <f aca="true" t="shared" si="4" ref="L37:L45">SUM(J37:K37)</f>
        <v>443</v>
      </c>
      <c r="M37" s="25">
        <f>443+428</f>
        <v>871</v>
      </c>
      <c r="O37" s="24"/>
    </row>
    <row r="38" spans="1:15" ht="15">
      <c r="A38" s="3">
        <v>2</v>
      </c>
      <c r="B38" t="s">
        <v>73</v>
      </c>
      <c r="D38" t="s">
        <v>4</v>
      </c>
      <c r="F38" s="3">
        <f>154+153</f>
        <v>307</v>
      </c>
      <c r="G38" s="3">
        <f>52+45</f>
        <v>97</v>
      </c>
      <c r="H38" s="3">
        <f t="shared" si="3"/>
        <v>404</v>
      </c>
      <c r="I38" s="3"/>
      <c r="J38" s="3">
        <f>147+149</f>
        <v>296</v>
      </c>
      <c r="K38" s="3">
        <f>80+72</f>
        <v>152</v>
      </c>
      <c r="L38" s="3">
        <f t="shared" si="4"/>
        <v>448</v>
      </c>
      <c r="M38" s="25">
        <f>448+404</f>
        <v>852</v>
      </c>
      <c r="O38" s="24"/>
    </row>
    <row r="39" spans="1:15" ht="15">
      <c r="A39" s="3">
        <v>3</v>
      </c>
      <c r="B39" t="s">
        <v>66</v>
      </c>
      <c r="D39" t="s">
        <v>4</v>
      </c>
      <c r="F39" s="3">
        <f>135+140</f>
        <v>275</v>
      </c>
      <c r="G39" s="3">
        <f>81+61</f>
        <v>142</v>
      </c>
      <c r="H39" s="3">
        <f t="shared" si="3"/>
        <v>417</v>
      </c>
      <c r="I39" s="3"/>
      <c r="J39" s="3">
        <f>150+139</f>
        <v>289</v>
      </c>
      <c r="K39" s="3">
        <f>62+61</f>
        <v>123</v>
      </c>
      <c r="L39" s="3">
        <f t="shared" si="4"/>
        <v>412</v>
      </c>
      <c r="M39" s="25">
        <f>412+417</f>
        <v>829</v>
      </c>
      <c r="O39" s="24"/>
    </row>
    <row r="40" spans="1:15" ht="15">
      <c r="A40" s="3">
        <v>4</v>
      </c>
      <c r="B40" t="s">
        <v>80</v>
      </c>
      <c r="D40" t="s">
        <v>4</v>
      </c>
      <c r="F40" s="3">
        <f>132+150</f>
        <v>282</v>
      </c>
      <c r="G40" s="3">
        <f>63+54</f>
        <v>117</v>
      </c>
      <c r="H40" s="3">
        <f t="shared" si="3"/>
        <v>399</v>
      </c>
      <c r="I40" s="3"/>
      <c r="J40" s="3">
        <f>167+129</f>
        <v>296</v>
      </c>
      <c r="K40" s="3">
        <f>67+51</f>
        <v>118</v>
      </c>
      <c r="L40" s="3">
        <f t="shared" si="4"/>
        <v>414</v>
      </c>
      <c r="M40" s="25">
        <f>414+399</f>
        <v>813</v>
      </c>
      <c r="O40" s="24"/>
    </row>
    <row r="41" spans="1:13" ht="15">
      <c r="A41" s="3">
        <v>5</v>
      </c>
      <c r="B41" t="s">
        <v>71</v>
      </c>
      <c r="D41" t="s">
        <v>4</v>
      </c>
      <c r="F41" s="3">
        <f>130+135</f>
        <v>265</v>
      </c>
      <c r="G41" s="3">
        <f>79+67</f>
        <v>146</v>
      </c>
      <c r="H41" s="3">
        <f t="shared" si="3"/>
        <v>411</v>
      </c>
      <c r="I41" s="3"/>
      <c r="J41" s="3">
        <f>145+132</f>
        <v>277</v>
      </c>
      <c r="K41" s="3">
        <f>54+70</f>
        <v>124</v>
      </c>
      <c r="L41" s="3">
        <f t="shared" si="4"/>
        <v>401</v>
      </c>
      <c r="M41" s="25">
        <f>401+411</f>
        <v>812</v>
      </c>
    </row>
    <row r="42" spans="1:13" ht="15">
      <c r="A42" s="3">
        <v>6</v>
      </c>
      <c r="B42" t="s">
        <v>46</v>
      </c>
      <c r="D42" t="s">
        <v>24</v>
      </c>
      <c r="F42" s="3">
        <f>129+135</f>
        <v>264</v>
      </c>
      <c r="G42" s="3">
        <f>69+71</f>
        <v>140</v>
      </c>
      <c r="H42" s="3">
        <f t="shared" si="3"/>
        <v>404</v>
      </c>
      <c r="I42" s="3"/>
      <c r="J42" s="3">
        <f>131+138</f>
        <v>269</v>
      </c>
      <c r="K42" s="3">
        <f>60+60</f>
        <v>120</v>
      </c>
      <c r="L42" s="3">
        <f t="shared" si="4"/>
        <v>389</v>
      </c>
      <c r="M42" s="25">
        <f>389+404</f>
        <v>793</v>
      </c>
    </row>
    <row r="43" spans="1:13" ht="15">
      <c r="A43" s="3">
        <v>7</v>
      </c>
      <c r="B43" t="s">
        <v>67</v>
      </c>
      <c r="D43" t="s">
        <v>4</v>
      </c>
      <c r="F43" s="3">
        <f>123+150</f>
        <v>273</v>
      </c>
      <c r="G43" s="3">
        <f>53+53</f>
        <v>106</v>
      </c>
      <c r="H43" s="3">
        <f t="shared" si="3"/>
        <v>379</v>
      </c>
      <c r="I43" s="3"/>
      <c r="J43" s="3">
        <f>145+143</f>
        <v>288</v>
      </c>
      <c r="K43" s="3">
        <f>54+70</f>
        <v>124</v>
      </c>
      <c r="L43" s="3">
        <f t="shared" si="4"/>
        <v>412</v>
      </c>
      <c r="M43" s="25">
        <f>412+379</f>
        <v>791</v>
      </c>
    </row>
    <row r="44" spans="1:13" ht="15">
      <c r="A44" s="3">
        <v>8</v>
      </c>
      <c r="B44" t="s">
        <v>47</v>
      </c>
      <c r="D44" t="s">
        <v>9</v>
      </c>
      <c r="F44" s="3">
        <f>120+147</f>
        <v>267</v>
      </c>
      <c r="G44" s="3">
        <f>35+62</f>
        <v>97</v>
      </c>
      <c r="H44" s="3">
        <f t="shared" si="3"/>
        <v>364</v>
      </c>
      <c r="I44" s="3"/>
      <c r="J44" s="3">
        <f>159+131</f>
        <v>290</v>
      </c>
      <c r="K44" s="3">
        <f>60+61</f>
        <v>121</v>
      </c>
      <c r="L44" s="3">
        <f t="shared" si="4"/>
        <v>411</v>
      </c>
      <c r="M44" s="25">
        <f>411+364</f>
        <v>775</v>
      </c>
    </row>
    <row r="45" spans="1:13" ht="15">
      <c r="A45" s="3">
        <v>9</v>
      </c>
      <c r="B45" t="s">
        <v>53</v>
      </c>
      <c r="D45" t="s">
        <v>26</v>
      </c>
      <c r="F45" s="3">
        <f>121+127</f>
        <v>248</v>
      </c>
      <c r="G45" s="3">
        <f>35+57</f>
        <v>92</v>
      </c>
      <c r="H45" s="3">
        <f t="shared" si="3"/>
        <v>340</v>
      </c>
      <c r="I45" s="3"/>
      <c r="J45" s="3">
        <f>136+125</f>
        <v>261</v>
      </c>
      <c r="K45" s="3">
        <f>54+62</f>
        <v>116</v>
      </c>
      <c r="L45" s="3">
        <f t="shared" si="4"/>
        <v>377</v>
      </c>
      <c r="M45" s="25">
        <f>377+340</f>
        <v>717</v>
      </c>
    </row>
    <row r="46" spans="1:13" ht="15">
      <c r="A46" s="3">
        <v>10</v>
      </c>
      <c r="B46" t="s">
        <v>45</v>
      </c>
      <c r="D46" t="s">
        <v>24</v>
      </c>
      <c r="F46" s="3">
        <f>140+130</f>
        <v>270</v>
      </c>
      <c r="G46" s="3">
        <f>43+57</f>
        <v>100</v>
      </c>
      <c r="H46" s="3">
        <f t="shared" si="3"/>
        <v>370</v>
      </c>
      <c r="I46" s="3"/>
      <c r="J46" s="3">
        <v>0</v>
      </c>
      <c r="K46" s="3">
        <v>0</v>
      </c>
      <c r="L46" s="3">
        <v>0</v>
      </c>
      <c r="M46" s="25">
        <v>370</v>
      </c>
    </row>
    <row r="48" ht="15">
      <c r="A48" s="3"/>
    </row>
    <row r="49" spans="1:13" ht="15">
      <c r="A49" s="3"/>
      <c r="F49" s="3"/>
      <c r="G49" s="3"/>
      <c r="H49" s="3"/>
      <c r="I49" s="3"/>
      <c r="J49" s="3"/>
      <c r="K49" s="3"/>
      <c r="L49" s="3"/>
      <c r="M49" s="25"/>
    </row>
    <row r="50" spans="1:13" ht="15">
      <c r="A50" s="3"/>
      <c r="F50" s="3"/>
      <c r="G50" s="3"/>
      <c r="H50" s="3"/>
      <c r="I50" s="3"/>
      <c r="J50" s="3"/>
      <c r="K50" s="3"/>
      <c r="L50" s="3"/>
      <c r="M50" s="25"/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  <ignoredErrors>
    <ignoredError sqref="K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S2" sqref="S2"/>
    </sheetView>
  </sheetViews>
  <sheetFormatPr defaultColWidth="11.421875" defaultRowHeight="15"/>
  <cols>
    <col min="5" max="5" width="11.28125" style="0" customWidth="1"/>
    <col min="6" max="6" width="68.57421875" style="0" hidden="1" customWidth="1"/>
    <col min="7" max="13" width="11.421875" style="0" hidden="1" customWidth="1"/>
  </cols>
  <sheetData>
    <row r="1" spans="1:13" ht="21">
      <c r="A1" s="1" t="s">
        <v>22</v>
      </c>
      <c r="G1" t="s">
        <v>10</v>
      </c>
      <c r="K1" t="s">
        <v>11</v>
      </c>
      <c r="M1" t="s">
        <v>12</v>
      </c>
    </row>
    <row r="2" spans="1:17" ht="15.75">
      <c r="A2" s="3" t="s">
        <v>3</v>
      </c>
      <c r="D2" s="2" t="s">
        <v>23</v>
      </c>
      <c r="F2" t="s">
        <v>1</v>
      </c>
      <c r="G2" t="s">
        <v>1</v>
      </c>
      <c r="H2" t="s">
        <v>2</v>
      </c>
      <c r="J2" t="s">
        <v>1</v>
      </c>
      <c r="K2" t="s">
        <v>1</v>
      </c>
      <c r="L2" t="s">
        <v>2</v>
      </c>
      <c r="N2" t="s">
        <v>30</v>
      </c>
      <c r="P2" t="s">
        <v>63</v>
      </c>
      <c r="Q2" s="6"/>
    </row>
    <row r="3" spans="1:16" ht="15">
      <c r="A3" s="3">
        <v>1</v>
      </c>
      <c r="B3" t="s">
        <v>64</v>
      </c>
      <c r="D3" t="s">
        <v>9</v>
      </c>
      <c r="F3" s="3">
        <v>196</v>
      </c>
      <c r="G3" s="3">
        <v>200</v>
      </c>
      <c r="H3" s="3">
        <f>SUM(C3:G3)</f>
        <v>396</v>
      </c>
      <c r="I3" s="3"/>
      <c r="J3" s="3"/>
      <c r="K3" s="3"/>
      <c r="L3" s="3">
        <f aca="true" t="shared" si="0" ref="L3:L9">SUM(H3:K3)</f>
        <v>396</v>
      </c>
      <c r="M3" s="25">
        <f aca="true" t="shared" si="1" ref="M3:M9">SUM(L3)</f>
        <v>396</v>
      </c>
      <c r="N3" t="s">
        <v>32</v>
      </c>
      <c r="P3">
        <v>4</v>
      </c>
    </row>
    <row r="4" spans="1:16" ht="15">
      <c r="A4" s="3">
        <v>2</v>
      </c>
      <c r="B4" t="s">
        <v>35</v>
      </c>
      <c r="D4" t="s">
        <v>9</v>
      </c>
      <c r="F4" s="3">
        <v>215</v>
      </c>
      <c r="G4" s="3">
        <v>218</v>
      </c>
      <c r="H4" s="3">
        <f>SUM(C4:G4)</f>
        <v>433</v>
      </c>
      <c r="I4" s="3"/>
      <c r="J4" s="3"/>
      <c r="K4" s="3"/>
      <c r="L4" s="3">
        <f t="shared" si="0"/>
        <v>433</v>
      </c>
      <c r="M4" s="25">
        <f t="shared" si="1"/>
        <v>433</v>
      </c>
      <c r="N4" t="s">
        <v>32</v>
      </c>
      <c r="P4">
        <v>3</v>
      </c>
    </row>
    <row r="5" spans="1:16" ht="15">
      <c r="A5" s="3">
        <v>3</v>
      </c>
      <c r="B5" t="s">
        <v>65</v>
      </c>
      <c r="D5" t="s">
        <v>9</v>
      </c>
      <c r="F5" s="3">
        <v>230</v>
      </c>
      <c r="G5" s="3">
        <v>251</v>
      </c>
      <c r="H5" s="3">
        <f>SUM(C5:G5)</f>
        <v>481</v>
      </c>
      <c r="I5" s="3"/>
      <c r="J5" s="3"/>
      <c r="K5" s="3"/>
      <c r="L5" s="3">
        <f t="shared" si="0"/>
        <v>481</v>
      </c>
      <c r="M5" s="25">
        <f t="shared" si="1"/>
        <v>481</v>
      </c>
      <c r="N5" t="s">
        <v>32</v>
      </c>
      <c r="P5">
        <v>2</v>
      </c>
    </row>
    <row r="6" spans="1:16" ht="15">
      <c r="A6" s="3">
        <v>4</v>
      </c>
      <c r="B6" t="s">
        <v>39</v>
      </c>
      <c r="D6" t="s">
        <v>24</v>
      </c>
      <c r="F6" s="3">
        <v>126</v>
      </c>
      <c r="G6" s="3">
        <v>143</v>
      </c>
      <c r="H6" s="3">
        <f>SUM(D6:G6)</f>
        <v>269</v>
      </c>
      <c r="I6" s="3"/>
      <c r="J6" s="3"/>
      <c r="K6" s="3"/>
      <c r="L6" s="3">
        <f t="shared" si="0"/>
        <v>269</v>
      </c>
      <c r="M6" s="25">
        <f t="shared" si="1"/>
        <v>269</v>
      </c>
      <c r="N6" t="s">
        <v>33</v>
      </c>
      <c r="P6">
        <v>4</v>
      </c>
    </row>
    <row r="7" spans="1:17" ht="15">
      <c r="A7" s="3">
        <v>5</v>
      </c>
      <c r="B7" t="s">
        <v>41</v>
      </c>
      <c r="D7" t="s">
        <v>24</v>
      </c>
      <c r="F7" s="3">
        <v>114</v>
      </c>
      <c r="G7" s="3">
        <v>166</v>
      </c>
      <c r="H7" s="3">
        <f>SUM(C7:G7)</f>
        <v>280</v>
      </c>
      <c r="I7" s="3"/>
      <c r="J7" s="3"/>
      <c r="K7" s="3"/>
      <c r="L7" s="3">
        <f t="shared" si="0"/>
        <v>280</v>
      </c>
      <c r="M7" s="25">
        <f t="shared" si="1"/>
        <v>280</v>
      </c>
      <c r="N7" t="s">
        <v>33</v>
      </c>
      <c r="P7">
        <v>3</v>
      </c>
      <c r="Q7" s="4"/>
    </row>
    <row r="8" spans="1:17" ht="15">
      <c r="A8" s="3">
        <v>6</v>
      </c>
      <c r="B8" t="s">
        <v>40</v>
      </c>
      <c r="D8" t="s">
        <v>24</v>
      </c>
      <c r="F8" s="3">
        <v>203</v>
      </c>
      <c r="G8" s="3">
        <v>200</v>
      </c>
      <c r="H8" s="3">
        <f>SUM(C8:G8)</f>
        <v>403</v>
      </c>
      <c r="I8" s="3"/>
      <c r="J8" s="3"/>
      <c r="K8" s="3"/>
      <c r="L8" s="3">
        <f t="shared" si="0"/>
        <v>403</v>
      </c>
      <c r="M8" s="25">
        <f t="shared" si="1"/>
        <v>403</v>
      </c>
      <c r="N8" t="s">
        <v>33</v>
      </c>
      <c r="P8">
        <v>2</v>
      </c>
      <c r="Q8" s="6"/>
    </row>
    <row r="9" spans="1:17" ht="15">
      <c r="A9" s="3">
        <v>7</v>
      </c>
      <c r="B9" t="s">
        <v>42</v>
      </c>
      <c r="D9" t="s">
        <v>24</v>
      </c>
      <c r="F9" s="3">
        <v>253</v>
      </c>
      <c r="G9" s="3">
        <v>262</v>
      </c>
      <c r="H9" s="3">
        <f>SUM(C9:G9)</f>
        <v>515</v>
      </c>
      <c r="I9" s="3"/>
      <c r="J9" s="3"/>
      <c r="K9" s="3"/>
      <c r="L9" s="3">
        <f t="shared" si="0"/>
        <v>515</v>
      </c>
      <c r="M9" s="25">
        <f t="shared" si="1"/>
        <v>515</v>
      </c>
      <c r="N9" t="s">
        <v>33</v>
      </c>
      <c r="P9">
        <v>1</v>
      </c>
      <c r="Q9" s="4"/>
    </row>
    <row r="10" ht="15">
      <c r="Q10" s="4"/>
    </row>
    <row r="11" spans="1:17" ht="15.75">
      <c r="A11" s="3" t="s">
        <v>3</v>
      </c>
      <c r="D11" s="2" t="s">
        <v>0</v>
      </c>
      <c r="F11" s="3"/>
      <c r="G11" s="3"/>
      <c r="H11" s="3"/>
      <c r="I11" s="3"/>
      <c r="J11" s="3"/>
      <c r="K11" s="3"/>
      <c r="L11" s="3"/>
      <c r="M11" s="25"/>
      <c r="Q11" s="4"/>
    </row>
    <row r="12" spans="1:17" ht="15">
      <c r="A12" s="3">
        <v>1</v>
      </c>
      <c r="B12" t="s">
        <v>36</v>
      </c>
      <c r="D12" t="s">
        <v>25</v>
      </c>
      <c r="F12" s="3">
        <f>135+135</f>
        <v>270</v>
      </c>
      <c r="G12" s="3">
        <f>44+54</f>
        <v>98</v>
      </c>
      <c r="H12" s="3">
        <f>SUM(C12:G12)</f>
        <v>368</v>
      </c>
      <c r="I12" s="3"/>
      <c r="J12" s="3"/>
      <c r="K12" s="3"/>
      <c r="L12" s="3">
        <f>SUM(H12:K12)</f>
        <v>368</v>
      </c>
      <c r="M12" s="25">
        <f>SUM(L12)</f>
        <v>368</v>
      </c>
      <c r="N12" t="s">
        <v>58</v>
      </c>
      <c r="P12">
        <v>2</v>
      </c>
      <c r="Q12" s="6"/>
    </row>
    <row r="13" spans="1:17" ht="15">
      <c r="A13" s="3">
        <v>2</v>
      </c>
      <c r="B13" t="s">
        <v>55</v>
      </c>
      <c r="D13" t="s">
        <v>4</v>
      </c>
      <c r="F13" s="3">
        <f>122+136</f>
        <v>258</v>
      </c>
      <c r="G13" s="3">
        <f>62+53</f>
        <v>115</v>
      </c>
      <c r="H13" s="3">
        <f>SUM(C13:G13)</f>
        <v>373</v>
      </c>
      <c r="I13" s="3"/>
      <c r="J13" s="3"/>
      <c r="K13" s="3"/>
      <c r="L13" s="3">
        <f>SUM(H13:K13)</f>
        <v>373</v>
      </c>
      <c r="M13" s="25">
        <f>SUM(L13)</f>
        <v>373</v>
      </c>
      <c r="N13" t="s">
        <v>58</v>
      </c>
      <c r="P13">
        <v>1</v>
      </c>
      <c r="Q13" s="4"/>
    </row>
    <row r="14" spans="1:17" ht="15">
      <c r="A14" s="3">
        <v>3</v>
      </c>
      <c r="B14" t="s">
        <v>37</v>
      </c>
      <c r="D14" t="s">
        <v>4</v>
      </c>
      <c r="F14" s="3">
        <f>156+139</f>
        <v>295</v>
      </c>
      <c r="G14" s="3">
        <f>48+54</f>
        <v>102</v>
      </c>
      <c r="H14" s="3">
        <f>SUM(C14:G14)</f>
        <v>397</v>
      </c>
      <c r="I14" s="3"/>
      <c r="J14" s="3"/>
      <c r="K14" s="3"/>
      <c r="L14" s="3">
        <f>SUM(H14:K14)</f>
        <v>397</v>
      </c>
      <c r="M14" s="25">
        <f>SUM(L14)</f>
        <v>397</v>
      </c>
      <c r="N14" t="s">
        <v>59</v>
      </c>
      <c r="P14">
        <v>2</v>
      </c>
      <c r="Q14" s="4"/>
    </row>
    <row r="15" spans="1:17" ht="15">
      <c r="A15" s="3">
        <v>4</v>
      </c>
      <c r="B15" t="s">
        <v>52</v>
      </c>
      <c r="D15" t="s">
        <v>26</v>
      </c>
      <c r="F15" s="3">
        <f>151+154</f>
        <v>305</v>
      </c>
      <c r="G15" s="3">
        <f>49+63</f>
        <v>112</v>
      </c>
      <c r="H15" s="3">
        <f>SUM(C15:G15)</f>
        <v>417</v>
      </c>
      <c r="I15" s="3"/>
      <c r="J15" s="3"/>
      <c r="K15" s="3"/>
      <c r="L15" s="3">
        <f>SUM(H15:K15)</f>
        <v>417</v>
      </c>
      <c r="M15" s="25">
        <f>SUM(L15)</f>
        <v>417</v>
      </c>
      <c r="N15" t="s">
        <v>60</v>
      </c>
      <c r="P15">
        <v>2</v>
      </c>
      <c r="Q15" s="4"/>
    </row>
    <row r="16" spans="1:17" ht="15">
      <c r="A16" s="3">
        <v>5</v>
      </c>
      <c r="B16" t="s">
        <v>56</v>
      </c>
      <c r="D16" t="s">
        <v>27</v>
      </c>
      <c r="F16" s="3">
        <f>163+157</f>
        <v>320</v>
      </c>
      <c r="G16" s="3">
        <f>62+61</f>
        <v>123</v>
      </c>
      <c r="H16" s="3">
        <f>SUM(C16:G16)</f>
        <v>443</v>
      </c>
      <c r="I16" s="3"/>
      <c r="J16" s="3"/>
      <c r="K16" s="3"/>
      <c r="L16" s="3">
        <f>SUM(H16:K16)</f>
        <v>443</v>
      </c>
      <c r="M16" s="25">
        <f>SUM(L16)</f>
        <v>443</v>
      </c>
      <c r="N16" t="s">
        <v>60</v>
      </c>
      <c r="P16">
        <v>1</v>
      </c>
      <c r="Q16" s="4"/>
    </row>
    <row r="17" spans="1:17" ht="15">
      <c r="A17" s="3"/>
      <c r="Q17" s="4"/>
    </row>
    <row r="18" spans="1:17" ht="15.75">
      <c r="A18" s="3" t="s">
        <v>3</v>
      </c>
      <c r="D18" s="2" t="s">
        <v>5</v>
      </c>
      <c r="F18" s="3"/>
      <c r="G18" s="3"/>
      <c r="H18" s="3"/>
      <c r="I18" s="3"/>
      <c r="J18" s="3"/>
      <c r="K18" s="3"/>
      <c r="L18" s="3"/>
      <c r="M18" s="25"/>
      <c r="Q18" s="4"/>
    </row>
    <row r="19" spans="1:17" ht="15">
      <c r="A19" s="3">
        <v>1</v>
      </c>
      <c r="B19" t="s">
        <v>57</v>
      </c>
      <c r="D19" t="s">
        <v>28</v>
      </c>
      <c r="F19" s="3">
        <f>126+140</f>
        <v>266</v>
      </c>
      <c r="G19" s="3">
        <f>93+3</f>
        <v>96</v>
      </c>
      <c r="H19" s="3">
        <f>SUM(C19:G19)</f>
        <v>362</v>
      </c>
      <c r="I19" s="3"/>
      <c r="J19" s="3"/>
      <c r="K19" s="3"/>
      <c r="L19" s="3">
        <f>SUM(H19:K19)</f>
        <v>362</v>
      </c>
      <c r="M19" s="25">
        <f>SUM(L19)</f>
        <v>362</v>
      </c>
      <c r="N19" t="s">
        <v>58</v>
      </c>
      <c r="P19">
        <v>3</v>
      </c>
      <c r="Q19" s="6"/>
    </row>
    <row r="20" ht="15">
      <c r="Q20" s="5"/>
    </row>
    <row r="21" spans="1:17" ht="15.75">
      <c r="A21" s="3" t="s">
        <v>3</v>
      </c>
      <c r="D21" s="2" t="s">
        <v>6</v>
      </c>
      <c r="F21" s="3"/>
      <c r="G21" s="3"/>
      <c r="H21" s="3"/>
      <c r="I21" s="3"/>
      <c r="J21" s="3"/>
      <c r="K21" s="3"/>
      <c r="L21" s="3"/>
      <c r="M21" s="25"/>
      <c r="Q21" s="4"/>
    </row>
    <row r="22" spans="1:17" ht="15">
      <c r="A22" s="3">
        <v>1</v>
      </c>
      <c r="B22" t="s">
        <v>68</v>
      </c>
      <c r="D22" t="s">
        <v>9</v>
      </c>
      <c r="F22" s="3">
        <f>114+131</f>
        <v>245</v>
      </c>
      <c r="G22" s="3">
        <f>26+42</f>
        <v>68</v>
      </c>
      <c r="H22" s="3">
        <v>313</v>
      </c>
      <c r="I22" s="3"/>
      <c r="J22" s="3"/>
      <c r="K22" s="3"/>
      <c r="L22" s="3">
        <f aca="true" t="shared" si="2" ref="L22:L34">SUM(H22:K22)</f>
        <v>313</v>
      </c>
      <c r="M22" s="25">
        <f aca="true" t="shared" si="3" ref="M22:M34">SUM(L22)</f>
        <v>313</v>
      </c>
      <c r="N22" t="s">
        <v>31</v>
      </c>
      <c r="P22">
        <v>4</v>
      </c>
      <c r="Q22" s="4"/>
    </row>
    <row r="23" spans="1:17" ht="15">
      <c r="A23" s="3">
        <v>2</v>
      </c>
      <c r="B23" t="s">
        <v>69</v>
      </c>
      <c r="D23" t="s">
        <v>9</v>
      </c>
      <c r="F23" s="3"/>
      <c r="G23" s="3"/>
      <c r="H23" s="3">
        <v>350</v>
      </c>
      <c r="I23" s="3"/>
      <c r="J23" s="3"/>
      <c r="K23" s="3"/>
      <c r="L23" s="3">
        <f t="shared" si="2"/>
        <v>350</v>
      </c>
      <c r="M23" s="25">
        <f t="shared" si="3"/>
        <v>350</v>
      </c>
      <c r="N23" t="s">
        <v>31</v>
      </c>
      <c r="P23">
        <v>3</v>
      </c>
      <c r="Q23" s="4"/>
    </row>
    <row r="24" spans="1:17" ht="15">
      <c r="A24" s="3">
        <v>3</v>
      </c>
      <c r="B24" t="s">
        <v>70</v>
      </c>
      <c r="D24" t="s">
        <v>9</v>
      </c>
      <c r="F24" s="3"/>
      <c r="G24" s="3"/>
      <c r="H24" s="3">
        <v>351</v>
      </c>
      <c r="I24" s="3"/>
      <c r="J24" s="3"/>
      <c r="K24" s="3"/>
      <c r="L24" s="3">
        <f t="shared" si="2"/>
        <v>351</v>
      </c>
      <c r="M24" s="25">
        <f t="shared" si="3"/>
        <v>351</v>
      </c>
      <c r="N24" t="s">
        <v>34</v>
      </c>
      <c r="P24">
        <v>4</v>
      </c>
      <c r="Q24" s="4"/>
    </row>
    <row r="25" spans="1:17" ht="15">
      <c r="A25" s="3">
        <v>4</v>
      </c>
      <c r="B25" t="s">
        <v>76</v>
      </c>
      <c r="D25" t="s">
        <v>9</v>
      </c>
      <c r="F25" s="3">
        <f>133+140</f>
        <v>273</v>
      </c>
      <c r="G25" s="3">
        <f>42+53</f>
        <v>95</v>
      </c>
      <c r="H25" s="3">
        <v>368</v>
      </c>
      <c r="I25" s="3"/>
      <c r="J25" s="3"/>
      <c r="K25" s="3"/>
      <c r="L25" s="3">
        <f t="shared" si="2"/>
        <v>368</v>
      </c>
      <c r="M25" s="25">
        <f t="shared" si="3"/>
        <v>368</v>
      </c>
      <c r="N25" t="s">
        <v>34</v>
      </c>
      <c r="P25">
        <v>3</v>
      </c>
      <c r="Q25" s="4"/>
    </row>
    <row r="26" spans="1:17" ht="15">
      <c r="A26" s="3">
        <v>5</v>
      </c>
      <c r="B26" t="s">
        <v>38</v>
      </c>
      <c r="D26" t="s">
        <v>24</v>
      </c>
      <c r="F26" s="3">
        <f>92+110</f>
        <v>202</v>
      </c>
      <c r="G26" s="3">
        <f>35+23</f>
        <v>58</v>
      </c>
      <c r="H26" s="3">
        <f aca="true" t="shared" si="4" ref="H26:H34">SUM(C26:G26)</f>
        <v>260</v>
      </c>
      <c r="I26" s="3"/>
      <c r="J26" s="3"/>
      <c r="K26" s="3"/>
      <c r="L26" s="3">
        <f t="shared" si="2"/>
        <v>260</v>
      </c>
      <c r="M26" s="25">
        <f t="shared" si="3"/>
        <v>260</v>
      </c>
      <c r="N26" t="s">
        <v>58</v>
      </c>
      <c r="P26">
        <v>4</v>
      </c>
      <c r="Q26" s="4"/>
    </row>
    <row r="27" spans="1:17" ht="15">
      <c r="A27" s="3">
        <v>6</v>
      </c>
      <c r="B27" t="s">
        <v>43</v>
      </c>
      <c r="D27" t="s">
        <v>24</v>
      </c>
      <c r="F27" s="3">
        <f>126+116</f>
        <v>242</v>
      </c>
      <c r="G27" s="3">
        <f>35+41</f>
        <v>76</v>
      </c>
      <c r="H27" s="3">
        <f t="shared" si="4"/>
        <v>318</v>
      </c>
      <c r="I27" s="3"/>
      <c r="J27" s="3"/>
      <c r="K27" s="3"/>
      <c r="L27" s="3">
        <f t="shared" si="2"/>
        <v>318</v>
      </c>
      <c r="M27" s="25">
        <f t="shared" si="3"/>
        <v>318</v>
      </c>
      <c r="N27" t="s">
        <v>59</v>
      </c>
      <c r="P27">
        <v>4</v>
      </c>
      <c r="Q27" s="4"/>
    </row>
    <row r="28" spans="1:17" ht="15">
      <c r="A28" s="3">
        <v>7</v>
      </c>
      <c r="B28" t="s">
        <v>44</v>
      </c>
      <c r="D28" t="s">
        <v>29</v>
      </c>
      <c r="F28" s="3">
        <f>112+128</f>
        <v>240</v>
      </c>
      <c r="G28" s="3">
        <f>63+42</f>
        <v>105</v>
      </c>
      <c r="H28" s="3">
        <f t="shared" si="4"/>
        <v>345</v>
      </c>
      <c r="I28" s="3"/>
      <c r="J28" s="3"/>
      <c r="K28" s="3"/>
      <c r="L28" s="3">
        <f t="shared" si="2"/>
        <v>345</v>
      </c>
      <c r="M28" s="25">
        <f t="shared" si="3"/>
        <v>345</v>
      </c>
      <c r="N28" t="s">
        <v>59</v>
      </c>
      <c r="P28">
        <v>3</v>
      </c>
      <c r="Q28" s="4"/>
    </row>
    <row r="29" spans="1:17" ht="15">
      <c r="A29" s="3">
        <v>8</v>
      </c>
      <c r="B29" t="s">
        <v>54</v>
      </c>
      <c r="D29" t="s">
        <v>4</v>
      </c>
      <c r="F29" s="3">
        <f>267+10</f>
        <v>277</v>
      </c>
      <c r="G29" s="3">
        <f>27+53</f>
        <v>80</v>
      </c>
      <c r="H29" s="3">
        <f t="shared" si="4"/>
        <v>357</v>
      </c>
      <c r="I29" s="3"/>
      <c r="J29" s="3"/>
      <c r="K29" s="3"/>
      <c r="L29" s="3">
        <f t="shared" si="2"/>
        <v>357</v>
      </c>
      <c r="M29" s="25">
        <f t="shared" si="3"/>
        <v>357</v>
      </c>
      <c r="N29" t="s">
        <v>60</v>
      </c>
      <c r="P29">
        <v>4</v>
      </c>
      <c r="Q29" s="4"/>
    </row>
    <row r="30" spans="1:17" ht="15">
      <c r="A30" s="3">
        <v>9</v>
      </c>
      <c r="B30" t="s">
        <v>75</v>
      </c>
      <c r="D30" t="s">
        <v>4</v>
      </c>
      <c r="F30" s="3">
        <v>0</v>
      </c>
      <c r="G30" s="3"/>
      <c r="H30" s="3">
        <f t="shared" si="4"/>
        <v>0</v>
      </c>
      <c r="I30" s="3"/>
      <c r="J30" s="3"/>
      <c r="K30" s="3"/>
      <c r="L30" s="3">
        <f t="shared" si="2"/>
        <v>0</v>
      </c>
      <c r="M30" s="25">
        <f t="shared" si="3"/>
        <v>0</v>
      </c>
      <c r="N30" t="s">
        <v>60</v>
      </c>
      <c r="P30">
        <v>3</v>
      </c>
      <c r="Q30" s="4"/>
    </row>
    <row r="31" spans="1:17" ht="15">
      <c r="A31" s="3">
        <v>10</v>
      </c>
      <c r="B31" t="s">
        <v>51</v>
      </c>
      <c r="D31" t="s">
        <v>26</v>
      </c>
      <c r="F31" s="3">
        <f>133+122</f>
        <v>255</v>
      </c>
      <c r="G31" s="3">
        <f>54+63</f>
        <v>117</v>
      </c>
      <c r="H31" s="3">
        <f t="shared" si="4"/>
        <v>372</v>
      </c>
      <c r="I31" s="3"/>
      <c r="J31" s="3"/>
      <c r="K31" s="3"/>
      <c r="L31" s="3">
        <f t="shared" si="2"/>
        <v>372</v>
      </c>
      <c r="M31" s="25">
        <f t="shared" si="3"/>
        <v>372</v>
      </c>
      <c r="N31" t="s">
        <v>61</v>
      </c>
      <c r="P31">
        <v>4</v>
      </c>
      <c r="Q31" s="4"/>
    </row>
    <row r="32" spans="1:16" ht="15">
      <c r="A32" s="3">
        <v>11</v>
      </c>
      <c r="B32" t="s">
        <v>50</v>
      </c>
      <c r="D32" t="s">
        <v>26</v>
      </c>
      <c r="F32" s="3">
        <f>147+137</f>
        <v>284</v>
      </c>
      <c r="G32" s="3">
        <f>53+63</f>
        <v>116</v>
      </c>
      <c r="H32" s="3">
        <f t="shared" si="4"/>
        <v>400</v>
      </c>
      <c r="I32" s="3"/>
      <c r="J32" s="3"/>
      <c r="K32" s="3"/>
      <c r="L32" s="3">
        <f t="shared" si="2"/>
        <v>400</v>
      </c>
      <c r="M32" s="25">
        <f t="shared" si="3"/>
        <v>400</v>
      </c>
      <c r="N32" t="s">
        <v>61</v>
      </c>
      <c r="P32">
        <v>3</v>
      </c>
    </row>
    <row r="33" spans="1:16" ht="15">
      <c r="A33" s="3">
        <v>12</v>
      </c>
      <c r="B33" t="s">
        <v>49</v>
      </c>
      <c r="D33" t="s">
        <v>26</v>
      </c>
      <c r="F33" s="3">
        <f>142+163</f>
        <v>305</v>
      </c>
      <c r="G33" s="3">
        <f>60+86</f>
        <v>146</v>
      </c>
      <c r="H33" s="3">
        <f t="shared" si="4"/>
        <v>451</v>
      </c>
      <c r="I33" s="3"/>
      <c r="J33" s="3"/>
      <c r="K33" s="3"/>
      <c r="L33" s="3">
        <f t="shared" si="2"/>
        <v>451</v>
      </c>
      <c r="M33" s="25">
        <f t="shared" si="3"/>
        <v>451</v>
      </c>
      <c r="N33" t="s">
        <v>62</v>
      </c>
      <c r="P33">
        <v>4</v>
      </c>
    </row>
    <row r="34" spans="1:16" ht="15">
      <c r="A34" s="3">
        <v>13</v>
      </c>
      <c r="B34" t="s">
        <v>48</v>
      </c>
      <c r="D34" t="s">
        <v>24</v>
      </c>
      <c r="F34" s="3">
        <f>158+164</f>
        <v>322</v>
      </c>
      <c r="G34" s="3">
        <f>53+80</f>
        <v>133</v>
      </c>
      <c r="H34" s="3">
        <f t="shared" si="4"/>
        <v>455</v>
      </c>
      <c r="I34" s="3"/>
      <c r="J34" s="3"/>
      <c r="K34" s="3"/>
      <c r="L34" s="3">
        <f t="shared" si="2"/>
        <v>455</v>
      </c>
      <c r="M34" s="25">
        <f t="shared" si="3"/>
        <v>455</v>
      </c>
      <c r="N34" t="s">
        <v>62</v>
      </c>
      <c r="P34">
        <v>3</v>
      </c>
    </row>
    <row r="36" spans="1:15" ht="15.75">
      <c r="A36" s="3" t="s">
        <v>3</v>
      </c>
      <c r="B36" t="s">
        <v>8</v>
      </c>
      <c r="D36" s="2" t="s">
        <v>7</v>
      </c>
      <c r="F36" s="3"/>
      <c r="G36" s="3"/>
      <c r="H36" s="3"/>
      <c r="I36" s="3"/>
      <c r="J36" s="3"/>
      <c r="K36" s="3"/>
      <c r="L36" s="3"/>
      <c r="M36" s="25"/>
      <c r="O36" s="24"/>
    </row>
    <row r="37" spans="1:16" ht="15">
      <c r="A37" s="3">
        <v>1</v>
      </c>
      <c r="B37" t="s">
        <v>47</v>
      </c>
      <c r="D37" t="s">
        <v>9</v>
      </c>
      <c r="F37" s="3">
        <f>120+147</f>
        <v>267</v>
      </c>
      <c r="G37" s="3">
        <f>35+62</f>
        <v>97</v>
      </c>
      <c r="H37" s="3">
        <f aca="true" t="shared" si="5" ref="H37:H46">SUM(C37:G37)</f>
        <v>364</v>
      </c>
      <c r="I37" s="3"/>
      <c r="J37" s="3"/>
      <c r="K37" s="3"/>
      <c r="L37" s="3">
        <f aca="true" t="shared" si="6" ref="L37:L46">SUM(H37:K37)</f>
        <v>364</v>
      </c>
      <c r="M37" s="25">
        <f aca="true" t="shared" si="7" ref="M37:M46">SUM(L37)</f>
        <v>364</v>
      </c>
      <c r="N37" t="s">
        <v>32</v>
      </c>
      <c r="O37" s="24"/>
      <c r="P37">
        <v>1</v>
      </c>
    </row>
    <row r="38" spans="1:16" ht="15">
      <c r="A38" s="3">
        <v>2</v>
      </c>
      <c r="B38" t="s">
        <v>45</v>
      </c>
      <c r="D38" t="s">
        <v>24</v>
      </c>
      <c r="F38" s="3">
        <f>140+130</f>
        <v>270</v>
      </c>
      <c r="G38" s="3">
        <f>43+57</f>
        <v>100</v>
      </c>
      <c r="H38" s="3">
        <f t="shared" si="5"/>
        <v>370</v>
      </c>
      <c r="I38" s="3"/>
      <c r="J38" s="3"/>
      <c r="K38" s="3"/>
      <c r="L38" s="3">
        <f t="shared" si="6"/>
        <v>370</v>
      </c>
      <c r="M38" s="25">
        <f t="shared" si="7"/>
        <v>370</v>
      </c>
      <c r="N38" t="s">
        <v>31</v>
      </c>
      <c r="O38" s="24"/>
      <c r="P38">
        <v>2</v>
      </c>
    </row>
    <row r="39" spans="1:16" ht="15">
      <c r="A39" s="3">
        <v>3</v>
      </c>
      <c r="B39" t="s">
        <v>46</v>
      </c>
      <c r="D39" t="s">
        <v>24</v>
      </c>
      <c r="F39" s="3">
        <f>129+135</f>
        <v>264</v>
      </c>
      <c r="G39" s="3">
        <f>69+71</f>
        <v>140</v>
      </c>
      <c r="H39" s="3">
        <f t="shared" si="5"/>
        <v>404</v>
      </c>
      <c r="I39" s="3"/>
      <c r="J39" s="3"/>
      <c r="K39" s="3"/>
      <c r="L39" s="3">
        <f t="shared" si="6"/>
        <v>404</v>
      </c>
      <c r="M39" s="25">
        <f t="shared" si="7"/>
        <v>404</v>
      </c>
      <c r="N39" t="s">
        <v>31</v>
      </c>
      <c r="O39" s="24"/>
      <c r="P39">
        <v>1</v>
      </c>
    </row>
    <row r="40" spans="1:16" ht="15">
      <c r="A40" s="3">
        <v>4</v>
      </c>
      <c r="B40" t="s">
        <v>53</v>
      </c>
      <c r="D40" t="s">
        <v>26</v>
      </c>
      <c r="F40" s="3">
        <f>121+127</f>
        <v>248</v>
      </c>
      <c r="G40" s="3">
        <f>35+57</f>
        <v>92</v>
      </c>
      <c r="H40" s="3">
        <f t="shared" si="5"/>
        <v>340</v>
      </c>
      <c r="I40" s="3"/>
      <c r="J40" s="3"/>
      <c r="K40" s="3"/>
      <c r="L40" s="3">
        <f t="shared" si="6"/>
        <v>340</v>
      </c>
      <c r="M40" s="25">
        <f t="shared" si="7"/>
        <v>340</v>
      </c>
      <c r="N40" t="s">
        <v>34</v>
      </c>
      <c r="O40" s="24"/>
      <c r="P40">
        <v>2</v>
      </c>
    </row>
    <row r="41" spans="1:16" ht="15">
      <c r="A41" s="3">
        <v>5</v>
      </c>
      <c r="B41" t="s">
        <v>67</v>
      </c>
      <c r="D41" t="s">
        <v>4</v>
      </c>
      <c r="F41" s="3">
        <f>123+150</f>
        <v>273</v>
      </c>
      <c r="G41" s="3">
        <f>53+53</f>
        <v>106</v>
      </c>
      <c r="H41" s="3">
        <f t="shared" si="5"/>
        <v>379</v>
      </c>
      <c r="I41" s="3"/>
      <c r="J41" s="3"/>
      <c r="K41" s="3"/>
      <c r="L41" s="3">
        <f t="shared" si="6"/>
        <v>379</v>
      </c>
      <c r="M41" s="25">
        <f t="shared" si="7"/>
        <v>379</v>
      </c>
      <c r="N41" t="s">
        <v>34</v>
      </c>
      <c r="P41">
        <v>1</v>
      </c>
    </row>
    <row r="42" spans="1:16" ht="15">
      <c r="A42" s="3">
        <v>6</v>
      </c>
      <c r="B42" t="s">
        <v>72</v>
      </c>
      <c r="D42" t="s">
        <v>4</v>
      </c>
      <c r="F42" s="3">
        <f>132+150</f>
        <v>282</v>
      </c>
      <c r="G42" s="3">
        <f>63+54</f>
        <v>117</v>
      </c>
      <c r="H42" s="3">
        <f t="shared" si="5"/>
        <v>399</v>
      </c>
      <c r="I42" s="3"/>
      <c r="J42" s="3"/>
      <c r="K42" s="3"/>
      <c r="L42" s="3">
        <f t="shared" si="6"/>
        <v>399</v>
      </c>
      <c r="M42" s="25">
        <f t="shared" si="7"/>
        <v>399</v>
      </c>
      <c r="N42" t="s">
        <v>59</v>
      </c>
      <c r="P42">
        <v>1</v>
      </c>
    </row>
    <row r="43" spans="1:16" ht="15">
      <c r="A43" s="3">
        <v>7</v>
      </c>
      <c r="B43" t="s">
        <v>74</v>
      </c>
      <c r="D43" t="s">
        <v>4</v>
      </c>
      <c r="F43" s="3">
        <v>404</v>
      </c>
      <c r="G43" s="3"/>
      <c r="H43" s="3">
        <f t="shared" si="5"/>
        <v>404</v>
      </c>
      <c r="I43" s="3"/>
      <c r="J43" s="3"/>
      <c r="K43" s="3"/>
      <c r="L43" s="3">
        <f t="shared" si="6"/>
        <v>404</v>
      </c>
      <c r="M43" s="25">
        <f t="shared" si="7"/>
        <v>404</v>
      </c>
      <c r="N43" t="s">
        <v>61</v>
      </c>
      <c r="P43">
        <v>2</v>
      </c>
    </row>
    <row r="44" spans="1:16" ht="15">
      <c r="A44" s="3">
        <v>8</v>
      </c>
      <c r="B44" t="s">
        <v>71</v>
      </c>
      <c r="D44" t="s">
        <v>4</v>
      </c>
      <c r="F44" s="3">
        <f>130+135</f>
        <v>265</v>
      </c>
      <c r="G44" s="3">
        <f>79+67</f>
        <v>146</v>
      </c>
      <c r="H44" s="3">
        <f t="shared" si="5"/>
        <v>411</v>
      </c>
      <c r="I44" s="3"/>
      <c r="J44" s="3"/>
      <c r="K44" s="3"/>
      <c r="L44" s="3">
        <f t="shared" si="6"/>
        <v>411</v>
      </c>
      <c r="M44" s="25">
        <f t="shared" si="7"/>
        <v>411</v>
      </c>
      <c r="N44" t="s">
        <v>61</v>
      </c>
      <c r="P44">
        <v>1</v>
      </c>
    </row>
    <row r="45" spans="1:16" ht="15">
      <c r="A45" s="3">
        <v>9</v>
      </c>
      <c r="B45" t="s">
        <v>66</v>
      </c>
      <c r="D45" t="s">
        <v>4</v>
      </c>
      <c r="F45" s="3">
        <f>135+140</f>
        <v>275</v>
      </c>
      <c r="G45" s="3">
        <f>81+61</f>
        <v>142</v>
      </c>
      <c r="H45" s="3">
        <f t="shared" si="5"/>
        <v>417</v>
      </c>
      <c r="I45" s="3"/>
      <c r="J45" s="3"/>
      <c r="K45" s="3"/>
      <c r="L45" s="3">
        <f t="shared" si="6"/>
        <v>417</v>
      </c>
      <c r="M45" s="25">
        <f t="shared" si="7"/>
        <v>417</v>
      </c>
      <c r="N45" t="s">
        <v>62</v>
      </c>
      <c r="P45">
        <v>2</v>
      </c>
    </row>
    <row r="46" spans="1:16" ht="15">
      <c r="A46" s="3">
        <v>10</v>
      </c>
      <c r="B46" t="s">
        <v>73</v>
      </c>
      <c r="D46" t="s">
        <v>4</v>
      </c>
      <c r="F46" s="3">
        <v>428</v>
      </c>
      <c r="G46" s="3"/>
      <c r="H46" s="3">
        <f t="shared" si="5"/>
        <v>428</v>
      </c>
      <c r="I46" s="3"/>
      <c r="J46" s="3"/>
      <c r="K46" s="3"/>
      <c r="L46" s="3">
        <f t="shared" si="6"/>
        <v>428</v>
      </c>
      <c r="M46" s="25">
        <f t="shared" si="7"/>
        <v>428</v>
      </c>
      <c r="N46" t="s">
        <v>62</v>
      </c>
      <c r="P46">
        <v>1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  <ignoredErrors>
    <ignoredError sqref="H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E1">
      <selection activeCell="S9" sqref="S9"/>
    </sheetView>
  </sheetViews>
  <sheetFormatPr defaultColWidth="11.421875" defaultRowHeight="15"/>
  <sheetData>
    <row r="1" spans="1:15" ht="21">
      <c r="A1" s="1" t="s">
        <v>22</v>
      </c>
      <c r="G1" t="s">
        <v>10</v>
      </c>
      <c r="K1" t="s">
        <v>11</v>
      </c>
      <c r="M1" t="s">
        <v>12</v>
      </c>
      <c r="O1" s="3"/>
    </row>
    <row r="2" spans="1:17" ht="15.75">
      <c r="A2" s="3" t="s">
        <v>3</v>
      </c>
      <c r="D2" s="2" t="s">
        <v>23</v>
      </c>
      <c r="F2" t="s">
        <v>1</v>
      </c>
      <c r="G2" t="s">
        <v>1</v>
      </c>
      <c r="H2" t="s">
        <v>2</v>
      </c>
      <c r="J2" t="s">
        <v>1</v>
      </c>
      <c r="K2" t="s">
        <v>1</v>
      </c>
      <c r="L2" t="s">
        <v>2</v>
      </c>
      <c r="O2" s="3"/>
      <c r="Q2" s="6"/>
    </row>
    <row r="3" spans="1:15" ht="15">
      <c r="A3" s="3">
        <v>1</v>
      </c>
      <c r="B3" t="s">
        <v>64</v>
      </c>
      <c r="D3" t="s">
        <v>9</v>
      </c>
      <c r="F3" s="3">
        <v>196</v>
      </c>
      <c r="G3" s="3">
        <v>200</v>
      </c>
      <c r="H3" s="3">
        <f>SUM(F3:G3)</f>
        <v>396</v>
      </c>
      <c r="I3" s="3"/>
      <c r="J3" s="3">
        <v>204</v>
      </c>
      <c r="K3" s="3">
        <v>225</v>
      </c>
      <c r="L3" s="3">
        <f>SUM(J3:K3)</f>
        <v>429</v>
      </c>
      <c r="M3" s="25">
        <f>396+429</f>
        <v>825</v>
      </c>
      <c r="O3" s="3"/>
    </row>
    <row r="4" spans="1:15" ht="15">
      <c r="A4" s="3">
        <v>2</v>
      </c>
      <c r="B4" t="s">
        <v>35</v>
      </c>
      <c r="D4" t="s">
        <v>9</v>
      </c>
      <c r="F4" s="3">
        <v>215</v>
      </c>
      <c r="G4" s="3">
        <v>218</v>
      </c>
      <c r="H4" s="3">
        <f>SUM(F4:G4)</f>
        <v>433</v>
      </c>
      <c r="I4" s="3"/>
      <c r="J4" s="3">
        <v>230</v>
      </c>
      <c r="K4" s="3">
        <v>224</v>
      </c>
      <c r="L4" s="3">
        <f>SUM(J4:K4)</f>
        <v>454</v>
      </c>
      <c r="M4" s="25">
        <f>454+433</f>
        <v>887</v>
      </c>
      <c r="O4" s="3"/>
    </row>
    <row r="5" spans="1:15" ht="15">
      <c r="A5" s="3">
        <v>3</v>
      </c>
      <c r="B5" t="s">
        <v>65</v>
      </c>
      <c r="D5" t="s">
        <v>9</v>
      </c>
      <c r="F5" s="3">
        <v>230</v>
      </c>
      <c r="G5" s="3">
        <v>251</v>
      </c>
      <c r="H5" s="3">
        <f>SUM(C5:G5)</f>
        <v>481</v>
      </c>
      <c r="I5" s="3"/>
      <c r="J5" s="3">
        <v>263</v>
      </c>
      <c r="K5" s="3">
        <v>260</v>
      </c>
      <c r="L5" s="3">
        <f>SUM(J5:K5)</f>
        <v>523</v>
      </c>
      <c r="M5" s="25">
        <f>523+481</f>
        <v>1004</v>
      </c>
      <c r="O5" s="3"/>
    </row>
    <row r="6" spans="1:15" ht="15">
      <c r="A6" s="3">
        <v>4</v>
      </c>
      <c r="B6" t="s">
        <v>39</v>
      </c>
      <c r="D6" t="s">
        <v>24</v>
      </c>
      <c r="F6" s="3">
        <v>126</v>
      </c>
      <c r="G6" s="3">
        <v>143</v>
      </c>
      <c r="H6" s="3">
        <f>SUM(D6:G6)</f>
        <v>269</v>
      </c>
      <c r="I6" s="3"/>
      <c r="J6" s="3"/>
      <c r="K6" s="3"/>
      <c r="L6" s="3">
        <f>SUM(H6:K6)</f>
        <v>269</v>
      </c>
      <c r="M6" s="25">
        <f>SUM(L6)</f>
        <v>269</v>
      </c>
      <c r="O6" s="3"/>
    </row>
    <row r="7" spans="1:17" ht="15">
      <c r="A7" s="3">
        <v>5</v>
      </c>
      <c r="B7" t="s">
        <v>41</v>
      </c>
      <c r="D7" t="s">
        <v>24</v>
      </c>
      <c r="F7" s="3">
        <v>114</v>
      </c>
      <c r="G7" s="3">
        <v>166</v>
      </c>
      <c r="H7" s="3">
        <f>SUM(C7:G7)</f>
        <v>280</v>
      </c>
      <c r="I7" s="3"/>
      <c r="J7" s="3"/>
      <c r="K7" s="3"/>
      <c r="L7" s="3">
        <f>SUM(H7:K7)</f>
        <v>280</v>
      </c>
      <c r="M7" s="25">
        <f>SUM(L7)</f>
        <v>280</v>
      </c>
      <c r="O7" s="3"/>
      <c r="Q7" s="4"/>
    </row>
    <row r="8" spans="1:17" ht="15">
      <c r="A8" s="3">
        <v>6</v>
      </c>
      <c r="B8" t="s">
        <v>40</v>
      </c>
      <c r="D8" t="s">
        <v>24</v>
      </c>
      <c r="F8" s="3">
        <v>203</v>
      </c>
      <c r="G8" s="3">
        <v>200</v>
      </c>
      <c r="H8" s="3">
        <f>SUM(C8:G8)</f>
        <v>403</v>
      </c>
      <c r="I8" s="3"/>
      <c r="J8" s="3"/>
      <c r="K8" s="3"/>
      <c r="L8" s="3">
        <f>SUM(H8:K8)</f>
        <v>403</v>
      </c>
      <c r="M8" s="25">
        <f>SUM(L8)</f>
        <v>403</v>
      </c>
      <c r="O8" s="3"/>
      <c r="Q8" s="6"/>
    </row>
    <row r="9" spans="1:17" ht="15">
      <c r="A9" s="3">
        <v>7</v>
      </c>
      <c r="B9" t="s">
        <v>42</v>
      </c>
      <c r="D9" t="s">
        <v>24</v>
      </c>
      <c r="F9" s="3">
        <v>253</v>
      </c>
      <c r="G9" s="3">
        <v>262</v>
      </c>
      <c r="H9" s="3">
        <f>SUM(C9:G9)</f>
        <v>515</v>
      </c>
      <c r="I9" s="3"/>
      <c r="J9" s="3"/>
      <c r="K9" s="3"/>
      <c r="L9" s="3">
        <f>SUM(H9:K9)</f>
        <v>515</v>
      </c>
      <c r="M9" s="25">
        <f>SUM(L9)</f>
        <v>515</v>
      </c>
      <c r="O9" s="3"/>
      <c r="Q9" s="4"/>
    </row>
    <row r="10" spans="15:17" ht="15">
      <c r="O10" s="3"/>
      <c r="Q10" s="4"/>
    </row>
    <row r="11" spans="1:17" ht="15.75">
      <c r="A11" s="3" t="s">
        <v>3</v>
      </c>
      <c r="D11" s="2" t="s">
        <v>0</v>
      </c>
      <c r="F11" s="3"/>
      <c r="G11" s="3"/>
      <c r="H11" s="3"/>
      <c r="I11" s="3"/>
      <c r="J11" s="3"/>
      <c r="K11" s="3"/>
      <c r="L11" s="3"/>
      <c r="M11" s="25"/>
      <c r="O11" s="3"/>
      <c r="Q11" s="4"/>
    </row>
    <row r="12" spans="1:17" ht="15">
      <c r="A12" s="3">
        <v>1</v>
      </c>
      <c r="B12" t="s">
        <v>36</v>
      </c>
      <c r="D12" t="s">
        <v>25</v>
      </c>
      <c r="F12" s="3">
        <f>135+135</f>
        <v>270</v>
      </c>
      <c r="G12" s="3">
        <f>44+54</f>
        <v>98</v>
      </c>
      <c r="H12" s="3">
        <f>SUM(C12:G12)</f>
        <v>368</v>
      </c>
      <c r="I12" s="3"/>
      <c r="J12" s="3"/>
      <c r="K12" s="3"/>
      <c r="L12" s="3">
        <f>SUM(H12:K12)</f>
        <v>368</v>
      </c>
      <c r="M12" s="25">
        <f>SUM(L12)</f>
        <v>368</v>
      </c>
      <c r="N12" t="s">
        <v>58</v>
      </c>
      <c r="O12" s="3"/>
      <c r="P12">
        <v>2</v>
      </c>
      <c r="Q12" s="6"/>
    </row>
    <row r="13" spans="1:17" ht="15">
      <c r="A13" s="3">
        <v>2</v>
      </c>
      <c r="B13" t="s">
        <v>55</v>
      </c>
      <c r="D13" t="s">
        <v>4</v>
      </c>
      <c r="F13" s="3">
        <f>122+136</f>
        <v>258</v>
      </c>
      <c r="G13" s="3">
        <f>62+53</f>
        <v>115</v>
      </c>
      <c r="H13" s="3">
        <f>SUM(C13:G13)</f>
        <v>373</v>
      </c>
      <c r="I13" s="3"/>
      <c r="J13" s="3"/>
      <c r="K13" s="3"/>
      <c r="L13" s="3">
        <f>SUM(H13:K13)</f>
        <v>373</v>
      </c>
      <c r="M13" s="25">
        <f>SUM(L13)</f>
        <v>373</v>
      </c>
      <c r="N13" t="s">
        <v>58</v>
      </c>
      <c r="O13" s="3"/>
      <c r="P13">
        <v>1</v>
      </c>
      <c r="Q13" s="4"/>
    </row>
    <row r="14" spans="1:17" ht="15">
      <c r="A14" s="3">
        <v>3</v>
      </c>
      <c r="B14" t="s">
        <v>37</v>
      </c>
      <c r="D14" t="s">
        <v>4</v>
      </c>
      <c r="F14" s="3">
        <f>156+139</f>
        <v>295</v>
      </c>
      <c r="G14" s="3">
        <f>48+54</f>
        <v>102</v>
      </c>
      <c r="H14" s="3">
        <f>SUM(C14:G14)</f>
        <v>397</v>
      </c>
      <c r="I14" s="3"/>
      <c r="J14" s="3"/>
      <c r="K14" s="3"/>
      <c r="L14" s="3">
        <f>SUM(H14:K14)</f>
        <v>397</v>
      </c>
      <c r="M14" s="25">
        <f>SUM(L14)</f>
        <v>397</v>
      </c>
      <c r="N14" t="s">
        <v>59</v>
      </c>
      <c r="O14" s="3"/>
      <c r="P14">
        <v>2</v>
      </c>
      <c r="Q14" s="4"/>
    </row>
    <row r="15" spans="1:17" ht="15">
      <c r="A15" s="3">
        <v>4</v>
      </c>
      <c r="B15" t="s">
        <v>52</v>
      </c>
      <c r="D15" t="s">
        <v>26</v>
      </c>
      <c r="F15" s="3">
        <f>151+154</f>
        <v>305</v>
      </c>
      <c r="G15" s="3">
        <f>49+63</f>
        <v>112</v>
      </c>
      <c r="H15" s="3">
        <f>SUM(C15:G15)</f>
        <v>417</v>
      </c>
      <c r="I15" s="3"/>
      <c r="J15" s="3"/>
      <c r="K15" s="3"/>
      <c r="L15" s="3">
        <f>SUM(H15:K15)</f>
        <v>417</v>
      </c>
      <c r="M15" s="25">
        <f>SUM(L15)</f>
        <v>417</v>
      </c>
      <c r="N15" t="s">
        <v>60</v>
      </c>
      <c r="O15" s="3"/>
      <c r="P15">
        <v>2</v>
      </c>
      <c r="Q15" s="4"/>
    </row>
    <row r="16" spans="1:17" ht="15">
      <c r="A16" s="3">
        <v>5</v>
      </c>
      <c r="B16" t="s">
        <v>56</v>
      </c>
      <c r="D16" t="s">
        <v>27</v>
      </c>
      <c r="F16" s="3">
        <f>163+157</f>
        <v>320</v>
      </c>
      <c r="G16" s="3">
        <f>62+61</f>
        <v>123</v>
      </c>
      <c r="H16" s="3">
        <f>SUM(C16:G16)</f>
        <v>443</v>
      </c>
      <c r="I16" s="3"/>
      <c r="J16" s="3"/>
      <c r="K16" s="3"/>
      <c r="L16" s="3">
        <f>SUM(H16:K16)</f>
        <v>443</v>
      </c>
      <c r="M16" s="25">
        <f>SUM(L16)</f>
        <v>443</v>
      </c>
      <c r="N16" t="s">
        <v>60</v>
      </c>
      <c r="O16" s="3"/>
      <c r="P16">
        <v>1</v>
      </c>
      <c r="Q16" s="4"/>
    </row>
    <row r="17" spans="1:17" ht="15">
      <c r="A17" s="3"/>
      <c r="O17" s="3"/>
      <c r="Q17" s="4"/>
    </row>
    <row r="18" spans="1:17" ht="15.75">
      <c r="A18" s="3" t="s">
        <v>3</v>
      </c>
      <c r="D18" s="2" t="s">
        <v>5</v>
      </c>
      <c r="F18" s="3"/>
      <c r="G18" s="3"/>
      <c r="H18" s="3"/>
      <c r="I18" s="3"/>
      <c r="J18" s="3"/>
      <c r="K18" s="3"/>
      <c r="L18" s="3"/>
      <c r="M18" s="25"/>
      <c r="O18" s="3"/>
      <c r="Q18" s="4"/>
    </row>
    <row r="19" spans="1:17" ht="15">
      <c r="A19" s="3">
        <v>1</v>
      </c>
      <c r="B19" t="s">
        <v>57</v>
      </c>
      <c r="D19" t="s">
        <v>28</v>
      </c>
      <c r="F19" s="3">
        <f>126+140</f>
        <v>266</v>
      </c>
      <c r="G19" s="3">
        <f>93+3</f>
        <v>96</v>
      </c>
      <c r="H19" s="3">
        <f>SUM(C19:G19)</f>
        <v>362</v>
      </c>
      <c r="I19" s="3"/>
      <c r="J19" s="3"/>
      <c r="K19" s="3"/>
      <c r="L19" s="3">
        <f>SUM(H19:K19)</f>
        <v>362</v>
      </c>
      <c r="M19" s="25">
        <f>SUM(L19)</f>
        <v>362</v>
      </c>
      <c r="N19" t="s">
        <v>58</v>
      </c>
      <c r="O19" s="3"/>
      <c r="P19">
        <v>3</v>
      </c>
      <c r="Q19" s="6"/>
    </row>
    <row r="20" spans="15:17" ht="15">
      <c r="O20" s="3"/>
      <c r="Q20" s="5"/>
    </row>
    <row r="21" spans="1:17" ht="15.75">
      <c r="A21" s="3" t="s">
        <v>3</v>
      </c>
      <c r="D21" s="2" t="s">
        <v>6</v>
      </c>
      <c r="F21" s="3"/>
      <c r="G21" s="3"/>
      <c r="H21" s="3"/>
      <c r="I21" s="3"/>
      <c r="J21" s="3"/>
      <c r="K21" s="3"/>
      <c r="L21" s="3"/>
      <c r="M21" s="25"/>
      <c r="O21" s="3"/>
      <c r="Q21" s="4"/>
    </row>
    <row r="22" spans="1:17" ht="15">
      <c r="A22" s="3">
        <v>1</v>
      </c>
      <c r="B22" t="s">
        <v>68</v>
      </c>
      <c r="D22" t="s">
        <v>9</v>
      </c>
      <c r="F22" s="3">
        <f>114+131</f>
        <v>245</v>
      </c>
      <c r="G22" s="3">
        <f>26+42</f>
        <v>68</v>
      </c>
      <c r="H22" s="3">
        <v>313</v>
      </c>
      <c r="I22" s="3"/>
      <c r="J22" s="3"/>
      <c r="K22" s="3"/>
      <c r="L22" s="3">
        <f aca="true" t="shared" si="0" ref="L22:L34">SUM(H22:K22)</f>
        <v>313</v>
      </c>
      <c r="M22" s="25">
        <f aca="true" t="shared" si="1" ref="M22:M34">SUM(L22)</f>
        <v>313</v>
      </c>
      <c r="N22" t="s">
        <v>31</v>
      </c>
      <c r="O22" s="3"/>
      <c r="P22">
        <v>4</v>
      </c>
      <c r="Q22" s="4"/>
    </row>
    <row r="23" spans="1:17" ht="15">
      <c r="A23" s="3">
        <v>2</v>
      </c>
      <c r="B23" t="s">
        <v>69</v>
      </c>
      <c r="D23" t="s">
        <v>9</v>
      </c>
      <c r="F23" s="3">
        <f>123+115</f>
        <v>238</v>
      </c>
      <c r="G23" s="3">
        <f>51+61</f>
        <v>112</v>
      </c>
      <c r="H23" s="3">
        <v>350</v>
      </c>
      <c r="I23" s="3"/>
      <c r="J23" s="3"/>
      <c r="K23" s="3"/>
      <c r="L23" s="3">
        <f t="shared" si="0"/>
        <v>350</v>
      </c>
      <c r="M23" s="25">
        <f t="shared" si="1"/>
        <v>350</v>
      </c>
      <c r="N23" t="s">
        <v>31</v>
      </c>
      <c r="O23" s="3"/>
      <c r="P23">
        <v>3</v>
      </c>
      <c r="Q23" s="4"/>
    </row>
    <row r="24" spans="1:17" ht="15">
      <c r="A24" s="3">
        <v>3</v>
      </c>
      <c r="B24" t="s">
        <v>70</v>
      </c>
      <c r="D24" t="s">
        <v>9</v>
      </c>
      <c r="F24" s="3">
        <f>139+127</f>
        <v>266</v>
      </c>
      <c r="G24" s="3">
        <f>35+44</f>
        <v>79</v>
      </c>
      <c r="H24" s="3">
        <v>353</v>
      </c>
      <c r="I24" s="3"/>
      <c r="J24" s="3"/>
      <c r="K24" s="3"/>
      <c r="L24" s="3">
        <f t="shared" si="0"/>
        <v>353</v>
      </c>
      <c r="M24" s="25">
        <f t="shared" si="1"/>
        <v>353</v>
      </c>
      <c r="N24" t="s">
        <v>34</v>
      </c>
      <c r="O24" s="3"/>
      <c r="P24">
        <v>4</v>
      </c>
      <c r="Q24" s="4"/>
    </row>
    <row r="25" spans="1:17" ht="15">
      <c r="A25" s="3">
        <v>4</v>
      </c>
      <c r="B25" t="s">
        <v>76</v>
      </c>
      <c r="D25" t="s">
        <v>9</v>
      </c>
      <c r="F25" s="3">
        <f>133+140</f>
        <v>273</v>
      </c>
      <c r="G25" s="3">
        <f>42+53</f>
        <v>95</v>
      </c>
      <c r="H25" s="3">
        <v>368</v>
      </c>
      <c r="I25" s="3"/>
      <c r="J25" s="3"/>
      <c r="K25" s="3"/>
      <c r="L25" s="3">
        <f t="shared" si="0"/>
        <v>368</v>
      </c>
      <c r="M25" s="25">
        <f t="shared" si="1"/>
        <v>368</v>
      </c>
      <c r="N25" t="s">
        <v>34</v>
      </c>
      <c r="O25" s="3"/>
      <c r="P25">
        <v>3</v>
      </c>
      <c r="Q25" s="4"/>
    </row>
    <row r="26" spans="1:17" ht="15">
      <c r="A26" s="3">
        <v>5</v>
      </c>
      <c r="B26" t="s">
        <v>38</v>
      </c>
      <c r="D26" t="s">
        <v>24</v>
      </c>
      <c r="F26" s="3">
        <f>92+110</f>
        <v>202</v>
      </c>
      <c r="G26" s="3">
        <f>35+23</f>
        <v>58</v>
      </c>
      <c r="H26" s="3">
        <f aca="true" t="shared" si="2" ref="H26:H34">SUM(C26:G26)</f>
        <v>260</v>
      </c>
      <c r="I26" s="3"/>
      <c r="J26" s="3"/>
      <c r="K26" s="3"/>
      <c r="L26" s="3">
        <f t="shared" si="0"/>
        <v>260</v>
      </c>
      <c r="M26" s="25">
        <f t="shared" si="1"/>
        <v>260</v>
      </c>
      <c r="N26" t="s">
        <v>58</v>
      </c>
      <c r="O26" s="3"/>
      <c r="P26">
        <v>4</v>
      </c>
      <c r="Q26" s="4"/>
    </row>
    <row r="27" spans="1:17" ht="15">
      <c r="A27" s="3">
        <v>6</v>
      </c>
      <c r="B27" t="s">
        <v>43</v>
      </c>
      <c r="D27" t="s">
        <v>24</v>
      </c>
      <c r="F27" s="3">
        <f>126+116</f>
        <v>242</v>
      </c>
      <c r="G27" s="3">
        <f>35+41</f>
        <v>76</v>
      </c>
      <c r="H27" s="3">
        <f t="shared" si="2"/>
        <v>318</v>
      </c>
      <c r="I27" s="3"/>
      <c r="J27" s="3"/>
      <c r="K27" s="3"/>
      <c r="L27" s="3">
        <f t="shared" si="0"/>
        <v>318</v>
      </c>
      <c r="M27" s="25">
        <f t="shared" si="1"/>
        <v>318</v>
      </c>
      <c r="N27" t="s">
        <v>59</v>
      </c>
      <c r="O27" s="3"/>
      <c r="P27">
        <v>4</v>
      </c>
      <c r="Q27" s="4"/>
    </row>
    <row r="28" spans="1:17" ht="15">
      <c r="A28" s="3">
        <v>7</v>
      </c>
      <c r="B28" t="s">
        <v>44</v>
      </c>
      <c r="D28" t="s">
        <v>29</v>
      </c>
      <c r="F28" s="3">
        <f>112+128</f>
        <v>240</v>
      </c>
      <c r="G28" s="3">
        <f>63+42</f>
        <v>105</v>
      </c>
      <c r="H28" s="3">
        <f t="shared" si="2"/>
        <v>345</v>
      </c>
      <c r="I28" s="3"/>
      <c r="J28" s="3"/>
      <c r="K28" s="3"/>
      <c r="L28" s="3">
        <f t="shared" si="0"/>
        <v>345</v>
      </c>
      <c r="M28" s="25">
        <f t="shared" si="1"/>
        <v>345</v>
      </c>
      <c r="N28" t="s">
        <v>59</v>
      </c>
      <c r="O28" s="3"/>
      <c r="P28">
        <v>3</v>
      </c>
      <c r="Q28" s="4"/>
    </row>
    <row r="29" spans="1:17" ht="15">
      <c r="A29" s="3">
        <v>8</v>
      </c>
      <c r="B29" t="s">
        <v>54</v>
      </c>
      <c r="D29" t="s">
        <v>4</v>
      </c>
      <c r="F29" s="3">
        <f>267+10</f>
        <v>277</v>
      </c>
      <c r="G29" s="3">
        <f>27+53</f>
        <v>80</v>
      </c>
      <c r="H29" s="3">
        <f t="shared" si="2"/>
        <v>357</v>
      </c>
      <c r="I29" s="3"/>
      <c r="J29" s="3"/>
      <c r="K29" s="3"/>
      <c r="L29" s="3">
        <f t="shared" si="0"/>
        <v>357</v>
      </c>
      <c r="M29" s="25">
        <f t="shared" si="1"/>
        <v>357</v>
      </c>
      <c r="N29" t="s">
        <v>60</v>
      </c>
      <c r="O29" s="3"/>
      <c r="P29">
        <v>4</v>
      </c>
      <c r="Q29" s="4"/>
    </row>
    <row r="30" spans="1:17" ht="15">
      <c r="A30" s="3">
        <v>9</v>
      </c>
      <c r="B30" t="s">
        <v>75</v>
      </c>
      <c r="D30" t="s">
        <v>4</v>
      </c>
      <c r="F30" s="3">
        <v>0</v>
      </c>
      <c r="G30" s="3"/>
      <c r="H30" s="3">
        <f t="shared" si="2"/>
        <v>0</v>
      </c>
      <c r="I30" s="3"/>
      <c r="J30" s="3"/>
      <c r="K30" s="3"/>
      <c r="L30" s="3">
        <f t="shared" si="0"/>
        <v>0</v>
      </c>
      <c r="M30" s="25">
        <f t="shared" si="1"/>
        <v>0</v>
      </c>
      <c r="N30" t="s">
        <v>60</v>
      </c>
      <c r="O30" s="3"/>
      <c r="P30">
        <v>3</v>
      </c>
      <c r="Q30" s="4"/>
    </row>
    <row r="31" spans="1:17" ht="15">
      <c r="A31" s="3">
        <v>10</v>
      </c>
      <c r="B31" t="s">
        <v>51</v>
      </c>
      <c r="D31" t="s">
        <v>26</v>
      </c>
      <c r="F31" s="3">
        <f>133+122</f>
        <v>255</v>
      </c>
      <c r="G31" s="3">
        <f>54+63</f>
        <v>117</v>
      </c>
      <c r="H31" s="3">
        <f t="shared" si="2"/>
        <v>372</v>
      </c>
      <c r="I31" s="3"/>
      <c r="J31" s="3"/>
      <c r="K31" s="3"/>
      <c r="L31" s="3">
        <f t="shared" si="0"/>
        <v>372</v>
      </c>
      <c r="M31" s="25">
        <f t="shared" si="1"/>
        <v>372</v>
      </c>
      <c r="N31" t="s">
        <v>61</v>
      </c>
      <c r="O31" s="3"/>
      <c r="P31">
        <v>4</v>
      </c>
      <c r="Q31" s="4"/>
    </row>
    <row r="32" spans="1:16" ht="15">
      <c r="A32" s="3">
        <v>11</v>
      </c>
      <c r="B32" t="s">
        <v>50</v>
      </c>
      <c r="D32" t="s">
        <v>26</v>
      </c>
      <c r="F32" s="3">
        <f>147+137</f>
        <v>284</v>
      </c>
      <c r="G32" s="3">
        <f>53+63</f>
        <v>116</v>
      </c>
      <c r="H32" s="3">
        <f t="shared" si="2"/>
        <v>400</v>
      </c>
      <c r="I32" s="3"/>
      <c r="J32" s="3"/>
      <c r="K32" s="3"/>
      <c r="L32" s="3">
        <f t="shared" si="0"/>
        <v>400</v>
      </c>
      <c r="M32" s="25">
        <f t="shared" si="1"/>
        <v>400</v>
      </c>
      <c r="N32" t="s">
        <v>61</v>
      </c>
      <c r="O32" s="3"/>
      <c r="P32">
        <v>3</v>
      </c>
    </row>
    <row r="33" spans="1:16" ht="15">
      <c r="A33" s="3">
        <v>12</v>
      </c>
      <c r="B33" t="s">
        <v>49</v>
      </c>
      <c r="D33" t="s">
        <v>26</v>
      </c>
      <c r="F33" s="3">
        <f>142+163</f>
        <v>305</v>
      </c>
      <c r="G33" s="3">
        <f>60+86</f>
        <v>146</v>
      </c>
      <c r="H33" s="3">
        <f t="shared" si="2"/>
        <v>451</v>
      </c>
      <c r="I33" s="3"/>
      <c r="J33" s="3"/>
      <c r="K33" s="3"/>
      <c r="L33" s="3">
        <f t="shared" si="0"/>
        <v>451</v>
      </c>
      <c r="M33" s="25">
        <f t="shared" si="1"/>
        <v>451</v>
      </c>
      <c r="N33" t="s">
        <v>62</v>
      </c>
      <c r="O33" s="3"/>
      <c r="P33">
        <v>4</v>
      </c>
    </row>
    <row r="34" spans="1:16" ht="15">
      <c r="A34" s="3">
        <v>13</v>
      </c>
      <c r="B34" t="s">
        <v>48</v>
      </c>
      <c r="D34" t="s">
        <v>24</v>
      </c>
      <c r="F34" s="3">
        <f>158+164</f>
        <v>322</v>
      </c>
      <c r="G34" s="3">
        <f>53+80</f>
        <v>133</v>
      </c>
      <c r="H34" s="3">
        <f t="shared" si="2"/>
        <v>455</v>
      </c>
      <c r="I34" s="3"/>
      <c r="J34" s="3"/>
      <c r="K34" s="3"/>
      <c r="L34" s="3">
        <f t="shared" si="0"/>
        <v>455</v>
      </c>
      <c r="M34" s="25">
        <f t="shared" si="1"/>
        <v>455</v>
      </c>
      <c r="N34" t="s">
        <v>62</v>
      </c>
      <c r="O34" s="3"/>
      <c r="P34">
        <v>3</v>
      </c>
    </row>
    <row r="35" ht="15">
      <c r="O35" s="3"/>
    </row>
    <row r="36" spans="1:15" ht="15.75">
      <c r="A36" s="3" t="s">
        <v>3</v>
      </c>
      <c r="B36" t="s">
        <v>8</v>
      </c>
      <c r="D36" s="2" t="s">
        <v>7</v>
      </c>
      <c r="F36" s="3"/>
      <c r="G36" s="3"/>
      <c r="H36" s="3"/>
      <c r="I36" s="3"/>
      <c r="J36" s="3"/>
      <c r="K36" s="3"/>
      <c r="L36" s="3"/>
      <c r="M36" s="25"/>
      <c r="O36" s="26"/>
    </row>
    <row r="37" spans="1:15" ht="15">
      <c r="A37" s="3">
        <v>1</v>
      </c>
      <c r="B37" t="s">
        <v>47</v>
      </c>
      <c r="D37" t="s">
        <v>9</v>
      </c>
      <c r="F37" s="3">
        <f>120+147</f>
        <v>267</v>
      </c>
      <c r="G37" s="3">
        <f>35+62</f>
        <v>97</v>
      </c>
      <c r="H37" s="3">
        <f aca="true" t="shared" si="3" ref="H37:H46">SUM(C37:G37)</f>
        <v>364</v>
      </c>
      <c r="I37" s="3"/>
      <c r="J37" s="3">
        <f>159+131</f>
        <v>290</v>
      </c>
      <c r="K37" s="3">
        <f>60+61</f>
        <v>121</v>
      </c>
      <c r="L37" s="3">
        <f aca="true" t="shared" si="4" ref="L37:L46">SUM(H37:K37)</f>
        <v>775</v>
      </c>
      <c r="M37" s="25">
        <f aca="true" t="shared" si="5" ref="M37:M46">SUM(L37)</f>
        <v>775</v>
      </c>
      <c r="N37" t="s">
        <v>32</v>
      </c>
      <c r="O37" s="26">
        <v>411</v>
      </c>
    </row>
    <row r="38" spans="1:16" ht="15">
      <c r="A38" s="3">
        <v>2</v>
      </c>
      <c r="B38" t="s">
        <v>45</v>
      </c>
      <c r="D38" t="s">
        <v>24</v>
      </c>
      <c r="F38" s="3">
        <f>140+130</f>
        <v>270</v>
      </c>
      <c r="G38" s="3">
        <f>43+57</f>
        <v>100</v>
      </c>
      <c r="H38" s="3">
        <f t="shared" si="3"/>
        <v>370</v>
      </c>
      <c r="I38" s="3"/>
      <c r="J38" s="3"/>
      <c r="K38" s="3"/>
      <c r="L38" s="3">
        <f t="shared" si="4"/>
        <v>370</v>
      </c>
      <c r="M38" s="25">
        <f t="shared" si="5"/>
        <v>370</v>
      </c>
      <c r="N38" t="s">
        <v>31</v>
      </c>
      <c r="O38" s="26"/>
      <c r="P38">
        <v>2</v>
      </c>
    </row>
    <row r="39" spans="1:16" ht="15">
      <c r="A39" s="3">
        <v>3</v>
      </c>
      <c r="B39" t="s">
        <v>46</v>
      </c>
      <c r="D39" t="s">
        <v>24</v>
      </c>
      <c r="F39" s="3">
        <f>129+135</f>
        <v>264</v>
      </c>
      <c r="G39" s="3">
        <f>69+71</f>
        <v>140</v>
      </c>
      <c r="H39" s="3">
        <f t="shared" si="3"/>
        <v>404</v>
      </c>
      <c r="I39" s="3"/>
      <c r="J39" s="3"/>
      <c r="K39" s="3"/>
      <c r="L39" s="3">
        <f t="shared" si="4"/>
        <v>404</v>
      </c>
      <c r="M39" s="25">
        <f t="shared" si="5"/>
        <v>404</v>
      </c>
      <c r="N39" t="s">
        <v>31</v>
      </c>
      <c r="O39" s="26"/>
      <c r="P39">
        <v>1</v>
      </c>
    </row>
    <row r="40" spans="1:16" ht="15">
      <c r="A40" s="3">
        <v>4</v>
      </c>
      <c r="B40" t="s">
        <v>53</v>
      </c>
      <c r="D40" t="s">
        <v>26</v>
      </c>
      <c r="F40" s="3">
        <f>121+127</f>
        <v>248</v>
      </c>
      <c r="G40" s="3">
        <f>35+57</f>
        <v>92</v>
      </c>
      <c r="H40" s="3">
        <f t="shared" si="3"/>
        <v>340</v>
      </c>
      <c r="I40" s="3"/>
      <c r="J40" s="3"/>
      <c r="K40" s="3"/>
      <c r="L40" s="3">
        <f t="shared" si="4"/>
        <v>340</v>
      </c>
      <c r="M40" s="25">
        <f t="shared" si="5"/>
        <v>340</v>
      </c>
      <c r="N40" t="s">
        <v>34</v>
      </c>
      <c r="O40" s="26"/>
      <c r="P40">
        <v>2</v>
      </c>
    </row>
    <row r="41" spans="1:16" ht="15">
      <c r="A41" s="3">
        <v>5</v>
      </c>
      <c r="B41" t="s">
        <v>67</v>
      </c>
      <c r="D41" t="s">
        <v>4</v>
      </c>
      <c r="F41" s="3">
        <f>123+150</f>
        <v>273</v>
      </c>
      <c r="G41" s="3">
        <f>53+53</f>
        <v>106</v>
      </c>
      <c r="H41" s="3">
        <f t="shared" si="3"/>
        <v>379</v>
      </c>
      <c r="I41" s="3"/>
      <c r="J41" s="3"/>
      <c r="K41" s="3"/>
      <c r="L41" s="3">
        <f t="shared" si="4"/>
        <v>379</v>
      </c>
      <c r="M41" s="25">
        <f t="shared" si="5"/>
        <v>379</v>
      </c>
      <c r="N41" t="s">
        <v>34</v>
      </c>
      <c r="O41" s="3"/>
      <c r="P41">
        <v>1</v>
      </c>
    </row>
    <row r="42" spans="1:16" ht="15">
      <c r="A42" s="3">
        <v>6</v>
      </c>
      <c r="B42" t="s">
        <v>72</v>
      </c>
      <c r="D42" t="s">
        <v>4</v>
      </c>
      <c r="F42" s="3">
        <f>132+150</f>
        <v>282</v>
      </c>
      <c r="G42" s="3">
        <f>63+54</f>
        <v>117</v>
      </c>
      <c r="H42" s="3">
        <f t="shared" si="3"/>
        <v>399</v>
      </c>
      <c r="I42" s="3"/>
      <c r="J42" s="3"/>
      <c r="K42" s="3"/>
      <c r="L42" s="3">
        <f t="shared" si="4"/>
        <v>399</v>
      </c>
      <c r="M42" s="25">
        <f t="shared" si="5"/>
        <v>399</v>
      </c>
      <c r="N42" t="s">
        <v>59</v>
      </c>
      <c r="O42" s="3"/>
      <c r="P42">
        <v>1</v>
      </c>
    </row>
    <row r="43" spans="1:16" ht="15">
      <c r="A43" s="3">
        <v>7</v>
      </c>
      <c r="B43" t="s">
        <v>73</v>
      </c>
      <c r="D43" t="s">
        <v>4</v>
      </c>
      <c r="F43" s="3">
        <f>154+153</f>
        <v>307</v>
      </c>
      <c r="G43" s="3">
        <f>52+45</f>
        <v>97</v>
      </c>
      <c r="H43" s="3">
        <f t="shared" si="3"/>
        <v>404</v>
      </c>
      <c r="I43" s="3"/>
      <c r="J43" s="3"/>
      <c r="K43" s="3"/>
      <c r="L43" s="3">
        <f t="shared" si="4"/>
        <v>404</v>
      </c>
      <c r="M43" s="25">
        <f t="shared" si="5"/>
        <v>404</v>
      </c>
      <c r="N43" t="s">
        <v>61</v>
      </c>
      <c r="O43" s="3"/>
      <c r="P43">
        <v>2</v>
      </c>
    </row>
    <row r="44" spans="1:16" ht="15">
      <c r="A44" s="3">
        <v>8</v>
      </c>
      <c r="B44" t="s">
        <v>71</v>
      </c>
      <c r="D44" t="s">
        <v>4</v>
      </c>
      <c r="F44" s="3">
        <f>130+135</f>
        <v>265</v>
      </c>
      <c r="G44" s="3">
        <f>79+67</f>
        <v>146</v>
      </c>
      <c r="H44" s="3">
        <f t="shared" si="3"/>
        <v>411</v>
      </c>
      <c r="I44" s="3"/>
      <c r="J44" s="3"/>
      <c r="K44" s="3"/>
      <c r="L44" s="3">
        <f t="shared" si="4"/>
        <v>411</v>
      </c>
      <c r="M44" s="25">
        <f t="shared" si="5"/>
        <v>411</v>
      </c>
      <c r="N44" t="s">
        <v>61</v>
      </c>
      <c r="O44" s="3"/>
      <c r="P44">
        <v>1</v>
      </c>
    </row>
    <row r="45" spans="1:16" ht="15">
      <c r="A45" s="3">
        <v>9</v>
      </c>
      <c r="B45" t="s">
        <v>66</v>
      </c>
      <c r="D45" t="s">
        <v>4</v>
      </c>
      <c r="F45" s="3">
        <f>135+140</f>
        <v>275</v>
      </c>
      <c r="G45" s="3">
        <f>81+61</f>
        <v>142</v>
      </c>
      <c r="H45" s="3">
        <f t="shared" si="3"/>
        <v>417</v>
      </c>
      <c r="I45" s="3"/>
      <c r="J45" s="3"/>
      <c r="K45" s="3"/>
      <c r="L45" s="3">
        <f t="shared" si="4"/>
        <v>417</v>
      </c>
      <c r="M45" s="25">
        <f t="shared" si="5"/>
        <v>417</v>
      </c>
      <c r="N45" t="s">
        <v>62</v>
      </c>
      <c r="O45" s="3"/>
      <c r="P45">
        <v>2</v>
      </c>
    </row>
    <row r="46" spans="1:16" ht="15">
      <c r="A46" s="3">
        <v>10</v>
      </c>
      <c r="B46" t="s">
        <v>74</v>
      </c>
      <c r="D46" t="s">
        <v>4</v>
      </c>
      <c r="F46" s="3">
        <f>131+156</f>
        <v>287</v>
      </c>
      <c r="G46" s="3">
        <f>80+61</f>
        <v>141</v>
      </c>
      <c r="H46" s="3">
        <f t="shared" si="3"/>
        <v>428</v>
      </c>
      <c r="I46" s="3"/>
      <c r="J46" s="3"/>
      <c r="K46" s="3"/>
      <c r="L46" s="3">
        <f t="shared" si="4"/>
        <v>428</v>
      </c>
      <c r="M46" s="25">
        <f t="shared" si="5"/>
        <v>428</v>
      </c>
      <c r="N46" t="s">
        <v>62</v>
      </c>
      <c r="O46" s="3"/>
      <c r="P46">
        <v>1</v>
      </c>
    </row>
  </sheetData>
  <sheetProtection/>
  <printOptions/>
  <pageMargins left="0.7" right="0.7" top="0.787401575" bottom="0.787401575" header="0.3" footer="0.3"/>
  <pageSetup orientation="portrait" paperSize="9"/>
  <ignoredErrors>
    <ignoredError sqref="H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E14"/>
  <sheetViews>
    <sheetView showGridLines="0" zoomScalePageLayoutView="0" workbookViewId="0" topLeftCell="A1">
      <selection activeCell="E9" sqref="E9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7" t="s">
        <v>13</v>
      </c>
      <c r="C1" s="8"/>
      <c r="D1" s="16"/>
      <c r="E1" s="16"/>
    </row>
    <row r="2" spans="2:5" ht="15">
      <c r="B2" s="7" t="s">
        <v>14</v>
      </c>
      <c r="C2" s="8"/>
      <c r="D2" s="16"/>
      <c r="E2" s="16"/>
    </row>
    <row r="3" spans="2:5" ht="15">
      <c r="B3" s="9"/>
      <c r="C3" s="9"/>
      <c r="D3" s="17"/>
      <c r="E3" s="17"/>
    </row>
    <row r="4" spans="2:5" ht="60">
      <c r="B4" s="10" t="s">
        <v>15</v>
      </c>
      <c r="C4" s="9"/>
      <c r="D4" s="17"/>
      <c r="E4" s="17"/>
    </row>
    <row r="5" spans="2:5" ht="15">
      <c r="B5" s="9"/>
      <c r="C5" s="9"/>
      <c r="D5" s="17"/>
      <c r="E5" s="17"/>
    </row>
    <row r="6" spans="2:5" ht="15">
      <c r="B6" s="7" t="s">
        <v>16</v>
      </c>
      <c r="C6" s="8"/>
      <c r="D6" s="16"/>
      <c r="E6" s="18" t="s">
        <v>17</v>
      </c>
    </row>
    <row r="7" spans="2:5" ht="15.75" thickBot="1">
      <c r="B7" s="9"/>
      <c r="C7" s="9"/>
      <c r="D7" s="17"/>
      <c r="E7" s="17"/>
    </row>
    <row r="8" spans="2:5" ht="75">
      <c r="B8" s="11" t="s">
        <v>18</v>
      </c>
      <c r="C8" s="12"/>
      <c r="D8" s="19"/>
      <c r="E8" s="20">
        <v>1</v>
      </c>
    </row>
    <row r="9" spans="2:5" ht="30.75" thickBot="1">
      <c r="B9" s="13"/>
      <c r="C9" s="14"/>
      <c r="D9" s="21"/>
      <c r="E9" s="22" t="s">
        <v>19</v>
      </c>
    </row>
    <row r="10" spans="2:5" ht="15.75" thickBot="1">
      <c r="B10" s="9"/>
      <c r="C10" s="9"/>
      <c r="D10" s="17"/>
      <c r="E10" s="17"/>
    </row>
    <row r="11" spans="2:5" ht="45">
      <c r="B11" s="15" t="s">
        <v>20</v>
      </c>
      <c r="C11" s="12"/>
      <c r="D11" s="19"/>
      <c r="E11" s="20">
        <v>2</v>
      </c>
    </row>
    <row r="12" spans="2:5" ht="30.75" thickBot="1">
      <c r="B12" s="13"/>
      <c r="C12" s="14"/>
      <c r="D12" s="21"/>
      <c r="E12" s="23" t="s">
        <v>21</v>
      </c>
    </row>
    <row r="13" spans="2:5" ht="15">
      <c r="B13" s="9"/>
      <c r="C13" s="9"/>
      <c r="D13" s="17"/>
      <c r="E13" s="17"/>
    </row>
    <row r="14" spans="2:5" ht="15">
      <c r="B14" s="9"/>
      <c r="C14" s="9"/>
      <c r="D14" s="17"/>
      <c r="E14" s="17"/>
    </row>
  </sheetData>
  <sheetProtection/>
  <hyperlinks>
    <hyperlink ref="E9" location="'Tabelle1'!A36:O41" display="'Tabelle1'!A36:O41"/>
    <hyperlink ref="E12" location="'Tabelle1'!A35:O45" display="'Tabelle1'!A35:O45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Gmeiner</cp:lastModifiedBy>
  <cp:lastPrinted>2012-02-20T15:13:40Z</cp:lastPrinted>
  <dcterms:created xsi:type="dcterms:W3CDTF">2007-12-28T20:59:03Z</dcterms:created>
  <dcterms:modified xsi:type="dcterms:W3CDTF">2012-02-20T15:14:08Z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